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mc:AlternateContent xmlns:mc="http://schemas.openxmlformats.org/markup-compatibility/2006">
    <mc:Choice Requires="x15">
      <x15ac:absPath xmlns:x15ac="http://schemas.microsoft.com/office/spreadsheetml/2010/11/ac" url="https://auroraenergynz.sharepoint.com/sites/RegulatoryCommercial/Regulatory Disclosures1/Info Disclosure 2021/Annual forecast disclosure (AMP)/Final Schedules/"/>
    </mc:Choice>
  </mc:AlternateContent>
  <xr:revisionPtr revIDLastSave="99" documentId="8_{185A71DE-B53D-4231-812F-B252AB8C9A89}" xr6:coauthVersionLast="45" xr6:coauthVersionMax="45" xr10:uidLastSave="{45A3D6BF-58F2-4CEE-B8FB-9D9BB676B86B}"/>
  <bookViews>
    <workbookView xWindow="28680" yWindow="-120" windowWidth="29040" windowHeight="15840" tabRatio="621" firstSheet="2" activeTab="3" xr2:uid="{00000000-000D-0000-FFFF-FFFF00000000}"/>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Tot)" sheetId="100" r:id="rId9"/>
    <sheet name="S12d.Reliability Forecast (Dun)" sheetId="101" r:id="rId10"/>
    <sheet name="S12d.Reliability Forecast (CO)" sheetId="91" r:id="rId11"/>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Forecast'!$A$1:$S$189</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10">'S12d.Reliability Forecast (CO)'!$1:$6</definedName>
    <definedName name="_xlnm.Print_Titles" localSheetId="9">'S12d.Reliability Forecast (Dun)'!$1:$6</definedName>
    <definedName name="_xlnm.Print_Titles" localSheetId="8">'S12d.Reliability Forecast (Tot)'!$1:$6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Forecast'!$A$1:$S$189</definedName>
    <definedName name="Z_21F2E024_704F_4E93_AC63_213755ECFFE0_.wvu.PrintArea" localSheetId="4" hidden="1">'S11b.Opex Forecast'!$A$1:$T$51</definedName>
    <definedName name="Z_21F2E024_704F_4E93_AC63_213755ECFFE0_.wvu.PrintArea" localSheetId="5" hidden="1">'S12a.Asset Condition'!$A$1:$O$65</definedName>
    <definedName name="Z_21F2E024_704F_4E93_AC63_213755ECFFE0_.wvu.PrintArea" localSheetId="6" hidden="1">'S12b.Capacity Forecast'!$A$1:$O$49</definedName>
    <definedName name="Z_21F2E024_704F_4E93_AC63_213755ECFFE0_.wvu.PrintArea" localSheetId="7" hidden="1">'S12c.Demand Forecast'!$A$1:$N$47</definedName>
    <definedName name="Z_21F2E024_704F_4E93_AC63_213755ECFFE0_.wvu.PrintArea" localSheetId="1" hidden="1">TOC!$A$1:$D$16</definedName>
  </definedNames>
  <calcPr calcId="191029"/>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101" l="1"/>
  <c r="L9" i="101"/>
  <c r="K9" i="101"/>
  <c r="J9" i="101"/>
  <c r="I9" i="101"/>
  <c r="H9" i="101"/>
  <c r="G9" i="101"/>
  <c r="K3" i="101"/>
  <c r="K2" i="101"/>
  <c r="M9" i="100"/>
  <c r="L9" i="100"/>
  <c r="K9" i="100"/>
  <c r="J9" i="100"/>
  <c r="I9" i="100"/>
  <c r="H9" i="100"/>
  <c r="G9" i="100"/>
  <c r="K3" i="100"/>
  <c r="K2" i="100"/>
  <c r="J10" i="56"/>
  <c r="J11" i="56"/>
  <c r="J12" i="56"/>
  <c r="J13" i="56"/>
  <c r="J14" i="56"/>
  <c r="J15" i="56"/>
  <c r="J16" i="56"/>
  <c r="J17" i="56"/>
  <c r="J18" i="56"/>
  <c r="J19" i="56"/>
  <c r="J20" i="56"/>
  <c r="J21" i="56"/>
  <c r="J22" i="56"/>
  <c r="J23" i="56"/>
  <c r="J24" i="56"/>
  <c r="J25" i="56"/>
  <c r="J26" i="56"/>
  <c r="J27" i="56"/>
  <c r="J28" i="56"/>
  <c r="J29" i="56"/>
  <c r="J30" i="56"/>
  <c r="J31" i="56"/>
  <c r="J32" i="56"/>
  <c r="J33" i="56"/>
  <c r="J34" i="56"/>
  <c r="J35" i="56"/>
  <c r="J36" i="56"/>
  <c r="J37" i="56"/>
  <c r="J38" i="56"/>
  <c r="J39" i="56"/>
  <c r="J40" i="56"/>
  <c r="J41" i="56"/>
  <c r="J42" i="56"/>
  <c r="J43" i="56"/>
  <c r="J44" i="56"/>
  <c r="J45" i="56"/>
  <c r="J46" i="56"/>
  <c r="M165" i="44" l="1"/>
  <c r="L165" i="44"/>
  <c r="K165" i="44"/>
  <c r="J165" i="44"/>
  <c r="I165" i="44"/>
  <c r="H165" i="44"/>
  <c r="G165" i="44"/>
  <c r="M136" i="44"/>
  <c r="L136" i="44"/>
  <c r="K136" i="44"/>
  <c r="J136" i="44"/>
  <c r="I136" i="44"/>
  <c r="H136" i="44"/>
  <c r="G136" i="44"/>
  <c r="M121" i="44"/>
  <c r="L121" i="44"/>
  <c r="K121" i="44"/>
  <c r="J121" i="44"/>
  <c r="I121" i="44"/>
  <c r="H121" i="44"/>
  <c r="G121" i="44"/>
  <c r="M106" i="44"/>
  <c r="L106" i="44"/>
  <c r="K106" i="44"/>
  <c r="J106" i="44"/>
  <c r="I106" i="44"/>
  <c r="H106" i="44"/>
  <c r="G106" i="44"/>
  <c r="J9" i="56" l="1"/>
  <c r="M151" i="44"/>
  <c r="L151" i="44"/>
  <c r="K151" i="44"/>
  <c r="J151" i="44"/>
  <c r="I151" i="44"/>
  <c r="H151" i="44"/>
  <c r="G151" i="44"/>
  <c r="P3" i="44"/>
  <c r="P2" i="44"/>
  <c r="G92" i="44"/>
  <c r="N8" i="44"/>
  <c r="N18" i="44"/>
  <c r="N19" i="44" s="1"/>
  <c r="N31" i="44"/>
  <c r="N41" i="44"/>
  <c r="N42" i="44" s="1"/>
  <c r="N44" i="44" s="1"/>
  <c r="N52" i="44"/>
  <c r="N54" i="44"/>
  <c r="N55" i="44"/>
  <c r="N56" i="44"/>
  <c r="N57" i="44"/>
  <c r="N59" i="44"/>
  <c r="N60" i="44"/>
  <c r="N61" i="44"/>
  <c r="N64" i="44"/>
  <c r="M92" i="44"/>
  <c r="L92" i="44"/>
  <c r="K92" i="44"/>
  <c r="J92" i="44"/>
  <c r="I92" i="44"/>
  <c r="H92"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30" i="99"/>
  <c r="L30" i="99"/>
  <c r="K30" i="99"/>
  <c r="J30" i="99"/>
  <c r="I30" i="99"/>
  <c r="H30" i="99"/>
  <c r="M10" i="99"/>
  <c r="L10" i="99"/>
  <c r="K10" i="99"/>
  <c r="J10" i="99"/>
  <c r="I10" i="99"/>
  <c r="H10" i="99"/>
  <c r="M9" i="91"/>
  <c r="L9" i="91"/>
  <c r="K9" i="91"/>
  <c r="J9" i="91"/>
  <c r="I9" i="91"/>
  <c r="H9" i="91"/>
  <c r="N3" i="56"/>
  <c r="N2" i="56"/>
  <c r="J47" i="56"/>
  <c r="G8" i="44"/>
  <c r="G9" i="91"/>
  <c r="K3" i="91"/>
  <c r="G30" i="99"/>
  <c r="G10" i="99"/>
  <c r="H8" i="88"/>
  <c r="M23" i="99"/>
  <c r="H41" i="99"/>
  <c r="H43" i="99" s="1"/>
  <c r="M33" i="99"/>
  <c r="M35" i="99" s="1"/>
  <c r="L33" i="99"/>
  <c r="L35" i="99" s="1"/>
  <c r="K33" i="99"/>
  <c r="K35" i="99" s="1"/>
  <c r="J33" i="99"/>
  <c r="J35" i="99" s="1"/>
  <c r="I33" i="99"/>
  <c r="I35" i="99" s="1"/>
  <c r="H33" i="99"/>
  <c r="H35" i="99" s="1"/>
  <c r="H45" i="99" s="1"/>
  <c r="L23" i="99"/>
  <c r="K23" i="99"/>
  <c r="J23" i="99"/>
  <c r="I23" i="99"/>
  <c r="H23" i="99"/>
  <c r="I48" i="88"/>
  <c r="I47" i="88"/>
  <c r="I45" i="88"/>
  <c r="I44" i="88"/>
  <c r="I43" i="88"/>
  <c r="I42" i="88"/>
  <c r="H186" i="44"/>
  <c r="H176" i="44"/>
  <c r="H160" i="44"/>
  <c r="H162" i="44" s="1"/>
  <c r="H146" i="44"/>
  <c r="H39" i="44" s="1"/>
  <c r="H131" i="44"/>
  <c r="H38" i="44" s="1"/>
  <c r="H59" i="44" s="1"/>
  <c r="H116" i="44"/>
  <c r="H36" i="44" s="1"/>
  <c r="H57" i="44" s="1"/>
  <c r="H101" i="44"/>
  <c r="H35" i="44" s="1"/>
  <c r="H56" i="44" s="1"/>
  <c r="H87" i="44"/>
  <c r="H89" i="44" s="1"/>
  <c r="I76" i="44"/>
  <c r="I33" i="44" s="1"/>
  <c r="I54" i="44" s="1"/>
  <c r="J76" i="44"/>
  <c r="J78" i="44" s="1"/>
  <c r="K76" i="44"/>
  <c r="K33" i="44" s="1"/>
  <c r="L76" i="44"/>
  <c r="L78" i="44" s="1"/>
  <c r="M76" i="44"/>
  <c r="M33" i="44" s="1"/>
  <c r="M54" i="44" s="1"/>
  <c r="H76"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41" i="99"/>
  <c r="L41" i="99"/>
  <c r="K41" i="99"/>
  <c r="J41" i="99"/>
  <c r="I41" i="99"/>
  <c r="I43"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6" i="44"/>
  <c r="I118" i="44" s="1"/>
  <c r="J116" i="44"/>
  <c r="J118" i="44" s="1"/>
  <c r="K116" i="44"/>
  <c r="K118" i="44" s="1"/>
  <c r="L116" i="44"/>
  <c r="L118" i="44" s="1"/>
  <c r="M116" i="44"/>
  <c r="M36" i="44" s="1"/>
  <c r="M57" i="44" s="1"/>
  <c r="M186" i="44"/>
  <c r="L186" i="44"/>
  <c r="K186" i="44"/>
  <c r="J186" i="44"/>
  <c r="I186" i="44"/>
  <c r="M160" i="44"/>
  <c r="M162" i="44" s="1"/>
  <c r="L160" i="44"/>
  <c r="L162" i="44" s="1"/>
  <c r="K160" i="44"/>
  <c r="K162" i="44" s="1"/>
  <c r="J160" i="44"/>
  <c r="J162" i="44" s="1"/>
  <c r="I160" i="44"/>
  <c r="I162" i="44" s="1"/>
  <c r="M146" i="44"/>
  <c r="M39" i="44" s="1"/>
  <c r="L146" i="44"/>
  <c r="L39" i="44" s="1"/>
  <c r="K146" i="44"/>
  <c r="K39" i="44" s="1"/>
  <c r="J146" i="44"/>
  <c r="J148" i="44" s="1"/>
  <c r="I146" i="44"/>
  <c r="I39" i="44" s="1"/>
  <c r="I60" i="44" s="1"/>
  <c r="M131" i="44"/>
  <c r="M38" i="44" s="1"/>
  <c r="M59" i="44" s="1"/>
  <c r="L131" i="44"/>
  <c r="L133" i="44" s="1"/>
  <c r="K131" i="44"/>
  <c r="K38" i="44" s="1"/>
  <c r="K59" i="44" s="1"/>
  <c r="J131" i="44"/>
  <c r="J38" i="44" s="1"/>
  <c r="I131" i="44"/>
  <c r="I38" i="44" s="1"/>
  <c r="M176" i="44"/>
  <c r="L176" i="44"/>
  <c r="K176" i="44"/>
  <c r="J176" i="44"/>
  <c r="I176"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1" i="44"/>
  <c r="M35" i="44" s="1"/>
  <c r="M56" i="44" s="1"/>
  <c r="L101" i="44"/>
  <c r="L35" i="44" s="1"/>
  <c r="L56" i="44" s="1"/>
  <c r="K101" i="44"/>
  <c r="K35" i="44" s="1"/>
  <c r="K56" i="44" s="1"/>
  <c r="J101" i="44"/>
  <c r="J35" i="44" s="1"/>
  <c r="I101" i="44"/>
  <c r="I103" i="44" s="1"/>
  <c r="M87" i="44"/>
  <c r="M89" i="44" s="1"/>
  <c r="L87" i="44"/>
  <c r="L34" i="44" s="1"/>
  <c r="K87" i="44"/>
  <c r="K34" i="44" s="1"/>
  <c r="K55" i="44" s="1"/>
  <c r="J87" i="44"/>
  <c r="J89" i="44" s="1"/>
  <c r="I87" i="44"/>
  <c r="I34" i="44" s="1"/>
  <c r="I55" i="44" s="1"/>
  <c r="I78" i="44"/>
  <c r="N62" i="44"/>
  <c r="K45" i="99" l="1"/>
  <c r="L45" i="99"/>
  <c r="M45" i="99"/>
  <c r="I45" i="99"/>
  <c r="J45" i="99"/>
  <c r="K49" i="88"/>
  <c r="R46" i="88"/>
  <c r="J46" i="88"/>
  <c r="M78" i="44"/>
  <c r="H148" i="44"/>
  <c r="H103" i="44"/>
  <c r="J30" i="88"/>
  <c r="S46" i="88"/>
  <c r="M43" i="99"/>
  <c r="M46" i="99" s="1"/>
  <c r="I46" i="99"/>
  <c r="M133" i="44"/>
  <c r="L33" i="44"/>
  <c r="L54" i="44" s="1"/>
  <c r="H34" i="44"/>
  <c r="H55" i="44" s="1"/>
  <c r="Q18" i="88"/>
  <c r="M18" i="88"/>
  <c r="K103" i="44"/>
  <c r="O18" i="88"/>
  <c r="I49" i="88"/>
  <c r="M30" i="88"/>
  <c r="L188" i="44"/>
  <c r="L43" i="44" s="1"/>
  <c r="L64" i="44" s="1"/>
  <c r="K133" i="44"/>
  <c r="R18" i="88"/>
  <c r="J18" i="88"/>
  <c r="M103" i="44"/>
  <c r="P49" i="88"/>
  <c r="N49" i="88"/>
  <c r="L89" i="44"/>
  <c r="L148" i="44"/>
  <c r="J40" i="44"/>
  <c r="J61" i="44" s="1"/>
  <c r="P18" i="88"/>
  <c r="L18" i="88"/>
  <c r="I89" i="44"/>
  <c r="L40" i="44"/>
  <c r="L61" i="44" s="1"/>
  <c r="K89" i="44"/>
  <c r="L36" i="44"/>
  <c r="L57" i="44" s="1"/>
  <c r="N46" i="88"/>
  <c r="K40" i="44"/>
  <c r="K61" i="44" s="1"/>
  <c r="H78" i="44"/>
  <c r="K36" i="44"/>
  <c r="K57" i="44" s="1"/>
  <c r="H40" i="44"/>
  <c r="H61" i="44" s="1"/>
  <c r="J188" i="44"/>
  <c r="J43" i="44" s="1"/>
  <c r="J64" i="44" s="1"/>
  <c r="L38" i="44"/>
  <c r="L59" i="44" s="1"/>
  <c r="H118" i="44"/>
  <c r="R62" i="44"/>
  <c r="M40" i="44"/>
  <c r="M61" i="44" s="1"/>
  <c r="J133" i="44"/>
  <c r="I40" i="44"/>
  <c r="I61" i="44" s="1"/>
  <c r="H133" i="44"/>
  <c r="J34" i="44"/>
  <c r="J55" i="44" s="1"/>
  <c r="J33" i="44"/>
  <c r="J54" i="44" s="1"/>
  <c r="I188" i="44"/>
  <c r="I43" i="44" s="1"/>
  <c r="I64" i="44" s="1"/>
  <c r="M188" i="44"/>
  <c r="M43" i="44" s="1"/>
  <c r="M64" i="44" s="1"/>
  <c r="H188" i="44"/>
  <c r="H43" i="44" s="1"/>
  <c r="H64" i="44" s="1"/>
  <c r="R49" i="88"/>
  <c r="R50" i="88" s="1"/>
  <c r="N30" i="88"/>
  <c r="R30" i="88"/>
  <c r="L46" i="88"/>
  <c r="P46" i="88"/>
  <c r="I18" i="88"/>
  <c r="N18" i="88"/>
  <c r="S18" i="88"/>
  <c r="M46" i="88"/>
  <c r="Q49" i="88"/>
  <c r="J49" i="88"/>
  <c r="J50" i="88" s="1"/>
  <c r="K30" i="88"/>
  <c r="K43" i="99"/>
  <c r="K46" i="99" s="1"/>
  <c r="Q62" i="44"/>
  <c r="R19" i="44"/>
  <c r="R21" i="44" s="1"/>
  <c r="R27" i="44" s="1"/>
  <c r="O63" i="44"/>
  <c r="O21" i="44"/>
  <c r="O27" i="44" s="1"/>
  <c r="N21" i="44"/>
  <c r="N65" i="44" s="1"/>
  <c r="N63" i="44"/>
  <c r="K60" i="44"/>
  <c r="I148" i="44"/>
  <c r="M148" i="44"/>
  <c r="P62" i="44"/>
  <c r="J36" i="44"/>
  <c r="J57" i="44" s="1"/>
  <c r="L43" i="99"/>
  <c r="L46" i="99" s="1"/>
  <c r="I36" i="44"/>
  <c r="I57" i="44" s="1"/>
  <c r="K188" i="44"/>
  <c r="K43" i="44" s="1"/>
  <c r="K64" i="44" s="1"/>
  <c r="J39" i="44"/>
  <c r="J60" i="44" s="1"/>
  <c r="M118" i="44"/>
  <c r="K46" i="88"/>
  <c r="K50" i="88" s="1"/>
  <c r="S49" i="88"/>
  <c r="Q46" i="88"/>
  <c r="K148" i="44"/>
  <c r="I133" i="44"/>
  <c r="M49" i="88"/>
  <c r="H46" i="99"/>
  <c r="I35" i="44"/>
  <c r="I56" i="44" s="1"/>
  <c r="O62" i="44"/>
  <c r="L103" i="44"/>
  <c r="K18" i="88"/>
  <c r="J43" i="99"/>
  <c r="J46" i="99" s="1"/>
  <c r="K78" i="44"/>
  <c r="O49" i="88"/>
  <c r="I46" i="88"/>
  <c r="I50" i="88" s="1"/>
  <c r="O46" i="88"/>
  <c r="S30" i="88"/>
  <c r="L30" i="88"/>
  <c r="P30" i="88"/>
  <c r="P21" i="44"/>
  <c r="P63" i="44"/>
  <c r="J56" i="44"/>
  <c r="R44" i="44"/>
  <c r="M60" i="44"/>
  <c r="Q27" i="44"/>
  <c r="Q44" i="44"/>
  <c r="Q65" i="44" s="1"/>
  <c r="Q63" i="44"/>
  <c r="I59" i="44"/>
  <c r="K54" i="44"/>
  <c r="H60" i="44"/>
  <c r="L55" i="44"/>
  <c r="J59" i="44"/>
  <c r="L60" i="44"/>
  <c r="J103" i="44"/>
  <c r="M34" i="44"/>
  <c r="I30" i="88"/>
  <c r="O30" i="88"/>
  <c r="Q30" i="88"/>
  <c r="L49" i="88"/>
  <c r="I41" i="44" l="1"/>
  <c r="S50" i="88"/>
  <c r="P50" i="88"/>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I63" i="44"/>
  <c r="I44" i="44"/>
  <c r="I65" i="44" s="1"/>
  <c r="K44" i="44" l="1"/>
  <c r="K65" i="44" s="1"/>
  <c r="L44" i="44"/>
  <c r="L65" i="44" s="1"/>
  <c r="H63" i="44"/>
  <c r="J63" i="44"/>
  <c r="J44" i="44"/>
  <c r="J65" i="44" s="1"/>
  <c r="M44" i="44"/>
  <c r="M65" i="44" s="1"/>
</calcChain>
</file>

<file path=xl/sharedStrings.xml><?xml version="1.0" encoding="utf-8"?>
<sst xmlns="http://schemas.openxmlformats.org/spreadsheetml/2006/main" count="868" uniqueCount="387">
  <si>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</si>
  <si>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</si>
  <si>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</si>
  <si>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</si>
  <si>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</si>
  <si>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</si>
  <si>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</si>
  <si>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</si>
  <si>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</si>
  <si>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</si>
  <si>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</si>
  <si>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</si>
  <si>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</si>
  <si>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</si>
  <si>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</si>
  <si>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</si>
  <si>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</si>
  <si>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</si>
  <si>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</si>
  <si>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</si>
  <si>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</si>
  <si>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</si>
  <si>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</si>
  <si>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</si>
  <si>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</si>
  <si>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</si>
  <si>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</si>
  <si>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</si>
  <si>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</si>
  <si>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</si>
  <si>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</si>
  <si>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</si>
  <si>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</si>
  <si>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</si>
  <si>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</si>
  <si>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</si>
  <si>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</si>
  <si>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</si>
  <si>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</si>
  <si>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</si>
  <si>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</si>
  <si>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</si>
  <si>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</si>
  <si>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</si>
  <si>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</si>
  <si>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</si>
  <si>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</si>
  <si>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</si>
  <si>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</si>
  <si>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</si>
  <si>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</si>
  <si>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</si>
  <si>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</si>
  <si>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</si>
  <si>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</si>
  <si>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</si>
  <si>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</si>
  <si>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</si>
  <si>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</si>
  <si>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</si>
  <si>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</si>
  <si>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</si>
  <si>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</si>
  <si>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</si>
  <si>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</si>
  <si>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</si>
  <si>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</si>
  <si>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</si>
  <si>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</si>
  <si>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</si>
  <si>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</si>
  <si>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</si>
  <si>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</si>
  <si>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</si>
  <si>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</si>
  <si>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</si>
  <si>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</si>
  <si>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</si>
  <si>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</si>
  <si>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</si>
  <si>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</si>
  <si>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</si>
  <si>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</si>
  <si>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</si>
  <si>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</si>
  <si>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</si>
  <si>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</si>
  <si>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</si>
  <si>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</si>
  <si>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</si>
  <si>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</si>
  <si>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</si>
  <si>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</si>
  <si>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</si>
  <si>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</si>
  <si>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</si>
  <si>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</si>
  <si>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</si>
  <si>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</si>
  <si>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</si>
  <si>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</si>
  <si>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</si>
  <si>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</si>
  <si>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</si>
  <si>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</si>
  <si>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</si>
  <si>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</si>
  <si>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</si>
  <si>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</si>
  <si>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</si>
  <si>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</si>
  <si>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</si>
  <si>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</si>
  <si>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</si>
  <si>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</si>
  <si>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</si>
  <si>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</si>
  <si>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</si>
  <si>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</si>
  <si>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</si>
  <si>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</si>
  <si>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</si>
  <si>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</si>
  <si>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</si>
  <si>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</si>
  <si>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</si>
  <si>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</si>
  <si>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</si>
  <si>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</si>
  <si>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</si>
  <si>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</si>
  <si>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</si>
  <si>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</si>
  <si>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</si>
  <si>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</si>
  <si>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</si>
  <si>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</si>
  <si>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Current Peak Load
(MVA)</t>
  </si>
  <si>
    <t>Installed Firm Capacity
(MVA)</t>
  </si>
  <si>
    <t>Security of Supply Classification
(type)</t>
  </si>
  <si>
    <t>Overhead to underground conversion</t>
  </si>
  <si>
    <t>Electricity volumes carried (GWh)</t>
  </si>
  <si>
    <t>SAIFI</t>
  </si>
  <si>
    <t>Other reliability, safety and environment</t>
  </si>
  <si>
    <t>Insurance</t>
  </si>
  <si>
    <t>11a</t>
  </si>
  <si>
    <t>SCHEDULE 11a: REPORT ON FORECAST CAPITAL EXPENDITURE</t>
  </si>
  <si>
    <t>11a(iii): System Growth</t>
  </si>
  <si>
    <t>11a(iv): Asset Replacement and Renewal</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</si>
  <si>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</si>
  <si>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</si>
  <si>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</si>
  <si>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</si>
  <si>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</si>
  <si>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</si>
  <si>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</si>
  <si>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</si>
  <si>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</si>
  <si>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SCHEDULE 12a: REPORT ON ASSET CONDITION</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</si>
  <si>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</si>
  <si>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</si>
  <si>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</si>
  <si>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</si>
  <si>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</si>
  <si>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</si>
  <si>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</si>
  <si>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</si>
  <si>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</si>
  <si>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</si>
  <si>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</si>
  <si>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</si>
  <si>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</si>
  <si>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</si>
  <si>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</si>
  <si>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</si>
  <si>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</si>
  <si>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</si>
  <si>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</si>
  <si>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</si>
  <si>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</si>
  <si>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</si>
  <si>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</si>
  <si>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</si>
  <si>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</si>
  <si>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</si>
  <si>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</si>
  <si>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</si>
  <si>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</si>
  <si>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</si>
  <si>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</si>
  <si>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</si>
  <si>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</si>
  <si>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</si>
  <si>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</si>
  <si>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</si>
  <si>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</si>
  <si>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</si>
  <si>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</si>
  <si>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</si>
  <si>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</si>
  <si>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</si>
  <si>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</si>
  <si>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</si>
  <si>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</si>
  <si>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</si>
  <si>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</si>
  <si>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</si>
  <si>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</si>
  <si>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</si>
  <si>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</si>
  <si>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</si>
  <si>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</si>
  <si>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</si>
  <si>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</si>
  <si>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</si>
  <si>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</si>
  <si>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</si>
  <si>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</si>
  <si>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</si>
  <si>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</si>
  <si>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</si>
  <si>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</si>
  <si>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</si>
  <si>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</si>
  <si>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</si>
  <si>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</si>
  <si>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</si>
  <si>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</si>
  <si>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</si>
  <si>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</si>
  <si>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</si>
  <si>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</si>
  <si>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</si>
  <si>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</si>
  <si>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</si>
  <si>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</si>
  <si>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</si>
  <si>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</si>
  <si>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</si>
  <si>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</si>
  <si>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</si>
  <si>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</si>
  <si>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</si>
  <si>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</si>
  <si>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</si>
  <si>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</si>
  <si>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</si>
  <si>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</si>
  <si>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</si>
  <si>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</si>
  <si>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</si>
  <si>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</si>
  <si>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</si>
  <si>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</si>
  <si>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</si>
  <si>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</si>
  <si>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</si>
  <si>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</si>
  <si>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</si>
  <si>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</si>
  <si>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</si>
  <si>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</si>
  <si>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</si>
  <si>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</si>
  <si>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</si>
  <si>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Capital contributions funding asset relocations</t>
  </si>
  <si>
    <t>AMP Planning Period Start Date (first day)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</si>
  <si>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</si>
  <si>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</si>
  <si>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</si>
  <si>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</si>
  <si>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</si>
  <si>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</si>
  <si>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</si>
  <si>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Schedules 11a–13</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</si>
  <si>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</si>
  <si>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</si>
  <si>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</si>
  <si>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</si>
  <si>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</si>
  <si>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</si>
  <si>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</si>
  <si>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</si>
  <si>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</si>
  <si>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</si>
  <si>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</si>
  <si>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</si>
  <si>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</si>
  <si>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</si>
  <si>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</si>
  <si>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</si>
  <si>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</si>
  <si>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</si>
  <si>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Schedule References</t>
  </si>
  <si>
    <t>12c</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</si>
  <si>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</si>
  <si>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</si>
  <si>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</si>
  <si>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</si>
  <si>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</si>
  <si>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The templates for schedules 11a, 12b and 12c  may require additional rows to be inserted in tables marked 'include additional rows if needed'. </t>
  </si>
  <si>
    <t>In some cases, where the information for disclosure is able to be ascertained from disclosures elsewhere in the workbook, such information is disclosed in a calculated cell.</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</si>
  <si>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</si>
  <si>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11a(v): Asset Relocations</t>
  </si>
  <si>
    <t>11a(vi): Quality of Supply</t>
  </si>
  <si>
    <t>Grade unknown</t>
  </si>
  <si>
    <t>H1</t>
  </si>
  <si>
    <t>H2</t>
  </si>
  <si>
    <t>H3</t>
  </si>
  <si>
    <t>H4</t>
  </si>
  <si>
    <t>H5</t>
  </si>
  <si>
    <t>Template Version 4.1. Prepared 21 December 2017</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</si>
  <si>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</si>
  <si>
    <t>Aurora Energy Limited</t>
  </si>
  <si>
    <t>Total Network</t>
  </si>
  <si>
    <t>Dunedin Sub-network</t>
  </si>
  <si>
    <t>Central Otago Sub-network</t>
  </si>
  <si>
    <t>Asset relocations (gross)</t>
  </si>
  <si>
    <t>Non-network assets</t>
  </si>
  <si>
    <t>Alexandra</t>
  </si>
  <si>
    <t>N-1 switched</t>
  </si>
  <si>
    <t>N-1</t>
  </si>
  <si>
    <t>Arrowtown</t>
  </si>
  <si>
    <t>Berwick</t>
  </si>
  <si>
    <t>N</t>
  </si>
  <si>
    <t>Camphill</t>
  </si>
  <si>
    <t>Cardrona</t>
  </si>
  <si>
    <t>Carisbrook</t>
  </si>
  <si>
    <t>Clyde/Earnscleugh</t>
  </si>
  <si>
    <t>Commonage</t>
  </si>
  <si>
    <t>Coronet Peak</t>
  </si>
  <si>
    <t>Corstorphine</t>
  </si>
  <si>
    <t>Cromwell</t>
  </si>
  <si>
    <t>Dalefield</t>
  </si>
  <si>
    <t>Earnscleugh</t>
  </si>
  <si>
    <t>East Taieri</t>
  </si>
  <si>
    <t>Ettrick</t>
  </si>
  <si>
    <t>Fernhill</t>
  </si>
  <si>
    <t>Frankton</t>
  </si>
  <si>
    <t>Green Island</t>
  </si>
  <si>
    <t>Halfway Bush</t>
  </si>
  <si>
    <t>Lauder Flat</t>
  </si>
  <si>
    <t>Lindis Crossing</t>
  </si>
  <si>
    <t>Mosgiel</t>
  </si>
  <si>
    <t>North City</t>
  </si>
  <si>
    <t>Omakau</t>
  </si>
  <si>
    <t>Outram</t>
  </si>
  <si>
    <t>Port Chalmers</t>
  </si>
  <si>
    <t>Queensberry</t>
  </si>
  <si>
    <t>Queenstown</t>
  </si>
  <si>
    <t>Remarkables</t>
  </si>
  <si>
    <t>Roxburgh</t>
  </si>
  <si>
    <t>Smith St</t>
  </si>
  <si>
    <t>South City</t>
  </si>
  <si>
    <t>St Kilda</t>
  </si>
  <si>
    <t>Wanaka</t>
  </si>
  <si>
    <t>Ward St</t>
  </si>
  <si>
    <t>Willowbank</t>
  </si>
  <si>
    <t>No constraint within +5 years</t>
  </si>
  <si>
    <t>Subtransmission circuit</t>
  </si>
  <si>
    <t>Transformer</t>
  </si>
  <si>
    <t>Excludes the new hospital connection.  Similarly the cost to relocate North City zone substation (if required) has not been included in our financial forecasts.</t>
  </si>
  <si>
    <t>It is proposed to relieve the Wanaka constraint by the installation of transformer capacity at Riverbank in RY28.  We will monitor growth in Wanaka.</t>
  </si>
  <si>
    <t>Subtransmission prevents use of full firm capacity. Minor reconfiguration of transformers planned for RY22. Subtransmission upgrade project planned in RY24.</t>
  </si>
  <si>
    <t>Load growth may occur with proposed expansion of the ski field.</t>
  </si>
  <si>
    <t>Earnscleugh provides short term partial back up to Clyde/Earnscleugh while we reinforce the network to provide back-up from Alexandra.</t>
  </si>
  <si>
    <t>We will monitor growth at Frankton to ensure that our plan to upgrade the smaller 15MVA transformer at this site in RY29 remains appropriate.</t>
  </si>
  <si>
    <t>The exact level of further irrigation load growth at Lindis Crossing is uncertain, we will monitor and respond accordingly.</t>
  </si>
  <si>
    <t>Planned upgrade and move to new location in RY24.</t>
  </si>
  <si>
    <t>Residential</t>
  </si>
  <si>
    <t>Load Group 0</t>
  </si>
  <si>
    <t>Load Group 0A</t>
  </si>
  <si>
    <t>Load Group 1A</t>
  </si>
  <si>
    <t>Load Group 1</t>
  </si>
  <si>
    <t>Load Group 2</t>
  </si>
  <si>
    <t>Load Group 3</t>
  </si>
  <si>
    <t>Load Group 3A</t>
  </si>
  <si>
    <t>Load Group 4</t>
  </si>
  <si>
    <t>Load Group 5</t>
  </si>
  <si>
    <t>Street Lighting &amp; DUML</t>
  </si>
  <si>
    <t>Consumer connections (gross)</t>
  </si>
  <si>
    <t>Kaikorai Valley</t>
  </si>
  <si>
    <t>North East Valley</t>
  </si>
  <si>
    <t>Andersons Bay</t>
  </si>
  <si>
    <t>RSE</t>
  </si>
  <si>
    <t>Future networks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</si>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</sst>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62"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
      <sz val="10"/>
      <color theme="1"/>
      <name val="Calibri"/>
      <family val="2"/>
    </font>
    <font>
      <b/>
      <sz val="10"/>
      <color theme="1"/>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
    <xf numFmtId="0" fontId="0" fillId="0" borderId="0">
      <alignment horizontal="right"/>
    </xf>
    <xf numFmtId="0" fontId="22"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71" fontId="20" fillId="0" borderId="0" applyFont="0" applyFill="0" applyBorder="0" applyProtection="0">
      <protection locked="0"/>
    </xf>
    <xf numFmtId="173" fontId="20" fillId="0" borderId="0" applyFont="0" applyFill="0" applyBorder="0" applyAlignment="0" applyProtection="0">
      <alignment wrapText="1"/>
    </xf>
    <xf numFmtId="169"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72" fontId="20" fillId="0" borderId="0" applyFont="0" applyFill="0" applyBorder="0">
      <alignment horizontal="left"/>
      <protection locked="0"/>
    </xf>
    <xf numFmtId="0" fontId="23" fillId="4" borderId="0" applyBorder="0">
      <alignment horizontal="center" wrapText="1"/>
    </xf>
    <xf numFmtId="168"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9" fontId="21" fillId="0" borderId="0" applyFont="0" applyFill="0" applyBorder="0" applyAlignment="0" applyProtection="0"/>
    <xf numFmtId="0" fontId="41" fillId="0" borderId="0" applyNumberFormat="0" applyFill="0" applyBorder="0" applyAlignment="0" applyProtection="0"/>
    <xf numFmtId="0" fontId="42" fillId="0" borderId="29" applyNumberFormat="0" applyFill="0" applyAlignment="0" applyProtection="0"/>
    <xf numFmtId="0" fontId="43" fillId="0" borderId="30" applyNumberFormat="0" applyFill="0" applyAlignment="0" applyProtection="0"/>
    <xf numFmtId="0" fontId="44" fillId="0" borderId="31" applyNumberFormat="0" applyFill="0" applyAlignment="0" applyProtection="0"/>
    <xf numFmtId="0" fontId="44" fillId="0" borderId="0" applyNumberFormat="0" applyFill="0" applyBorder="0" applyAlignment="0" applyProtection="0"/>
    <xf numFmtId="0" fontId="45" fillId="6" borderId="0" applyNumberFormat="0" applyBorder="0" applyAlignment="0" applyProtection="0"/>
    <xf numFmtId="0" fontId="46" fillId="7" borderId="0" applyNumberFormat="0" applyBorder="0" applyAlignment="0" applyProtection="0"/>
    <xf numFmtId="0" fontId="47" fillId="8" borderId="0" applyNumberFormat="0" applyBorder="0" applyAlignment="0" applyProtection="0"/>
    <xf numFmtId="0" fontId="48" fillId="9" borderId="32" applyNumberFormat="0" applyAlignment="0" applyProtection="0"/>
    <xf numFmtId="0" fontId="49" fillId="10" borderId="33" applyNumberFormat="0" applyAlignment="0" applyProtection="0"/>
    <xf numFmtId="0" fontId="50" fillId="10" borderId="32" applyNumberFormat="0" applyAlignment="0" applyProtection="0"/>
    <xf numFmtId="0" fontId="51" fillId="0" borderId="34" applyNumberFormat="0" applyFill="0" applyAlignment="0" applyProtection="0"/>
    <xf numFmtId="0" fontId="52" fillId="11" borderId="35" applyNumberFormat="0" applyAlignment="0" applyProtection="0"/>
    <xf numFmtId="0" fontId="53" fillId="0" borderId="0" applyNumberFormat="0" applyFill="0" applyBorder="0" applyAlignment="0" applyProtection="0"/>
    <xf numFmtId="0" fontId="21" fillId="12" borderId="36" applyNumberFormat="0" applyFont="0" applyAlignment="0" applyProtection="0"/>
    <xf numFmtId="0" fontId="54" fillId="0" borderId="0" applyNumberFormat="0" applyFill="0" applyBorder="0" applyAlignment="0" applyProtection="0"/>
    <xf numFmtId="0" fontId="55" fillId="0" borderId="37" applyNumberFormat="0" applyFill="0" applyAlignment="0" applyProtection="0"/>
    <xf numFmtId="0" fontId="5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6" fillId="24" borderId="0" applyNumberFormat="0" applyBorder="0" applyAlignment="0" applyProtection="0"/>
    <xf numFmtId="0" fontId="5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6" fillId="32" borderId="0" applyNumberFormat="0" applyBorder="0" applyAlignment="0" applyProtection="0"/>
    <xf numFmtId="0" fontId="5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6" fillId="36" borderId="0" applyNumberFormat="0" applyBorder="0" applyAlignment="0" applyProtection="0"/>
    <xf numFmtId="0" fontId="58" fillId="0" borderId="0" applyNumberFormat="0" applyFill="0" applyAlignment="0"/>
    <xf numFmtId="0" fontId="58" fillId="0" borderId="0" applyNumberFormat="0" applyFill="0" applyAlignment="0"/>
  </cellStyleXfs>
  <cellXfs count="290">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9" fillId="5" borderId="13" xfId="15" applyBorder="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71" fontId="18" fillId="2" borderId="2" xfId="8" applyFont="1" applyFill="1" applyBorder="1">
      <protection locked="0"/>
    </xf>
    <xf numFmtId="172" fontId="18" fillId="2" borderId="2" xfId="30" applyFont="1" applyFill="1" applyBorder="1" applyAlignment="1">
      <alignment horizontal="left" wrapText="1"/>
      <protection locked="0"/>
    </xf>
    <xf numFmtId="0" fontId="6" fillId="5" borderId="0" xfId="14" applyFont="1" applyBorder="1"/>
    <xf numFmtId="0" fontId="23" fillId="5" borderId="0" xfId="16" applyBorder="1" applyAlignment="1"/>
    <xf numFmtId="173"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9"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36" fillId="4" borderId="0" xfId="7" applyFont="1" applyBorder="1" applyAlignment="1">
      <alignment vertical="center"/>
    </xf>
    <xf numFmtId="0" fontId="32" fillId="4" borderId="0" xfId="18" applyFont="1" applyBorder="1" applyAlignment="1">
      <alignment horizontal="left" indent="1"/>
    </xf>
    <xf numFmtId="0" fontId="37" fillId="4" borderId="0" xfId="25" applyFont="1" applyBorder="1">
      <alignment horizontal="right"/>
    </xf>
    <xf numFmtId="0" fontId="37"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74" fontId="25" fillId="4" borderId="0" xfId="7" applyNumberFormat="1" applyFont="1" applyBorder="1"/>
    <xf numFmtId="0" fontId="33" fillId="4" borderId="0" xfId="20" applyFont="1" applyBorder="1" applyAlignment="1"/>
    <xf numFmtId="174"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73" fontId="39"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73"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164"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73"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3" fillId="4" borderId="0" xfId="31" applyFont="1" applyBorder="1" applyAlignment="1">
      <alignment horizontal="center"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4" fillId="0" borderId="1" xfId="6">
      <protection locked="0"/>
    </xf>
    <xf numFmtId="0" fontId="25" fillId="4" borderId="0" xfId="29" applyFont="1" applyBorder="1" applyAlignment="1">
      <alignment horizontal="left" indent="2"/>
    </xf>
    <xf numFmtId="0" fontId="25" fillId="4" borderId="0" xfId="29" applyFont="1" applyBorder="1" applyAlignment="1">
      <alignment horizontal="right"/>
    </xf>
    <xf numFmtId="175" fontId="24" fillId="0" borderId="1" xfId="6" applyNumberFormat="1">
      <protection locked="0"/>
    </xf>
    <xf numFmtId="175" fontId="4" fillId="4" borderId="4" xfId="22" applyNumberFormat="1" applyFont="1" applyBorder="1" applyAlignment="1">
      <alignment horizontal="right"/>
    </xf>
    <xf numFmtId="175" fontId="4" fillId="4" borderId="20" xfId="22" applyNumberFormat="1" applyFont="1" applyBorder="1" applyAlignment="1">
      <alignment horizontal="right"/>
    </xf>
    <xf numFmtId="175" fontId="25" fillId="4" borderId="1" xfId="3" applyNumberFormat="1" applyFont="1" applyBorder="1" applyProtection="1">
      <alignment horizontal="right"/>
    </xf>
    <xf numFmtId="175" fontId="25" fillId="4" borderId="21" xfId="3" applyNumberFormat="1" applyFont="1" applyBorder="1" applyAlignment="1" applyProtection="1">
      <alignment horizontal="right"/>
    </xf>
    <xf numFmtId="175" fontId="25" fillId="4" borderId="22" xfId="3" applyNumberFormat="1" applyFont="1" applyBorder="1" applyAlignment="1" applyProtection="1">
      <alignment horizontal="right"/>
    </xf>
    <xf numFmtId="175" fontId="25" fillId="4" borderId="23" xfId="3" applyNumberFormat="1" applyFont="1" applyBorder="1" applyAlignment="1" applyProtection="1">
      <alignment horizontal="right"/>
    </xf>
    <xf numFmtId="175" fontId="4" fillId="4" borderId="4" xfId="22" applyNumberFormat="1" applyFont="1" applyAlignment="1">
      <alignment horizontal="right"/>
    </xf>
    <xf numFmtId="176" fontId="24" fillId="0" borderId="1" xfId="6" applyNumberFormat="1">
      <protection locked="0"/>
    </xf>
    <xf numFmtId="177" fontId="24"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4" fillId="0" borderId="1" xfId="6" applyNumberFormat="1">
      <protection locked="0"/>
    </xf>
    <xf numFmtId="180"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4" fillId="0" borderId="1" xfId="6" applyAlignment="1">
      <protection locked="0"/>
    </xf>
    <xf numFmtId="0" fontId="25" fillId="4" borderId="0" xfId="7" applyAlignment="1">
      <alignment horizontal="right"/>
    </xf>
    <xf numFmtId="0" fontId="25" fillId="4" borderId="0" xfId="7" applyAlignment="1">
      <alignment horizontal="right" vertical="top"/>
    </xf>
    <xf numFmtId="0" fontId="38" fillId="4" borderId="0" xfId="3" applyFont="1" applyBorder="1" applyProtection="1">
      <alignment horizontal="right"/>
    </xf>
    <xf numFmtId="0" fontId="25" fillId="4" borderId="0" xfId="7" applyAlignment="1">
      <alignment wrapText="1"/>
    </xf>
    <xf numFmtId="175" fontId="24" fillId="0" borderId="1" xfId="6" applyNumberFormat="1">
      <protection locked="0"/>
    </xf>
    <xf numFmtId="175" fontId="24" fillId="0" borderId="1" xfId="6" applyNumberFormat="1">
      <protection locked="0"/>
    </xf>
    <xf numFmtId="177" fontId="25" fillId="4" borderId="1" xfId="2" applyNumberFormat="1" applyFont="1" applyBorder="1" applyAlignment="1" applyProtection="1">
      <alignment horizontal="right"/>
      <protection locked="0"/>
    </xf>
    <xf numFmtId="0" fontId="25" fillId="4" borderId="0" xfId="29" applyFont="1" applyBorder="1">
      <alignment horizontal="left"/>
    </xf>
    <xf numFmtId="0" fontId="6" fillId="5" borderId="12" xfId="14" applyNumberFormat="1" applyFont="1" applyBorder="1"/>
    <xf numFmtId="0" fontId="25" fillId="4" borderId="0" xfId="29" applyFont="1" applyBorder="1">
      <alignment horizontal="left"/>
    </xf>
    <xf numFmtId="0" fontId="0" fillId="0" borderId="0" xfId="0">
      <alignment horizontal="right"/>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xf numFmtId="0" fontId="12" fillId="37" borderId="17" xfId="0" applyNumberFormat="1" applyFont="1" applyFill="1" applyBorder="1">
      <alignment horizontal="right"/>
    </xf>
    <xf numFmtId="0" fontId="12" fillId="37" borderId="9" xfId="0" applyFont="1" applyFill="1" applyBorder="1">
      <alignment horizontal="right"/>
    </xf>
    <xf numFmtId="0" fontId="30" fillId="37" borderId="0" xfId="17" applyFill="1" applyAlignment="1">
      <alignment horizontal="left"/>
    </xf>
    <xf numFmtId="0" fontId="12" fillId="37" borderId="11" xfId="0" applyFont="1" applyFill="1" applyBorder="1">
      <alignment horizontal="right"/>
    </xf>
    <xf numFmtId="0" fontId="0" fillId="37" borderId="0" xfId="0" applyFill="1" applyBorder="1" applyAlignment="1">
      <alignment vertical="top" wrapText="1"/>
    </xf>
    <xf numFmtId="0" fontId="40" fillId="37" borderId="0" xfId="17" applyFont="1" applyFill="1" applyAlignment="1">
      <alignment vertical="top" wrapText="1"/>
    </xf>
    <xf numFmtId="0" fontId="0" fillId="37" borderId="0" xfId="0" applyFill="1" applyBorder="1" applyAlignment="1">
      <alignment horizontal="left"/>
    </xf>
    <xf numFmtId="0" fontId="40" fillId="37" borderId="0" xfId="17" applyFont="1" applyFill="1" applyAlignment="1">
      <alignment horizontal="left"/>
    </xf>
    <xf numFmtId="0" fontId="7" fillId="37" borderId="3" xfId="0" applyFont="1" applyFill="1" applyBorder="1" applyAlignment="1"/>
    <xf numFmtId="0" fontId="7" fillId="37" borderId="0" xfId="0" applyFont="1" applyFill="1" applyBorder="1" applyAlignment="1">
      <alignment horizontal="left" vertical="top" wrapText="1"/>
    </xf>
    <xf numFmtId="0" fontId="7" fillId="37" borderId="8" xfId="0" applyFont="1" applyFill="1" applyBorder="1" applyAlignment="1"/>
    <xf numFmtId="0" fontId="59" fillId="37" borderId="0" xfId="78" applyFont="1" applyFill="1" applyBorder="1" applyAlignment="1">
      <alignment horizontal="left" vertical="top"/>
    </xf>
    <xf numFmtId="0" fontId="12" fillId="37" borderId="18" xfId="0" applyFont="1" applyFill="1" applyBorder="1" applyAlignment="1"/>
    <xf numFmtId="0" fontId="12" fillId="37" borderId="10" xfId="0" applyFont="1" applyFill="1" applyBorder="1" applyAlignment="1"/>
    <xf numFmtId="0" fontId="12" fillId="37" borderId="6" xfId="0" applyFont="1" applyFill="1" applyBorder="1" applyAlignment="1"/>
    <xf numFmtId="0" fontId="12" fillId="37" borderId="12" xfId="0" applyNumberFormat="1" applyFont="1" applyFill="1" applyBorder="1" applyAlignment="1"/>
    <xf numFmtId="0" fontId="12" fillId="37" borderId="13" xfId="0" applyFont="1" applyFill="1" applyBorder="1" applyAlignment="1"/>
    <xf numFmtId="0" fontId="12" fillId="37" borderId="13" xfId="0" applyFont="1" applyFill="1" applyBorder="1">
      <alignment horizontal="right"/>
    </xf>
    <xf numFmtId="0" fontId="12" fillId="37" borderId="14" xfId="0" applyFont="1" applyFill="1" applyBorder="1">
      <alignment horizontal="right"/>
    </xf>
    <xf numFmtId="0" fontId="12" fillId="37" borderId="3" xfId="0" applyFont="1" applyFill="1" applyBorder="1">
      <alignment horizontal="right"/>
    </xf>
    <xf numFmtId="0" fontId="15" fillId="37" borderId="0" xfId="0" applyFont="1" applyFill="1" applyBorder="1" applyAlignment="1"/>
    <xf numFmtId="0" fontId="12" fillId="37" borderId="0" xfId="0" applyFont="1" applyFill="1" applyBorder="1">
      <alignment horizontal="right"/>
    </xf>
    <xf numFmtId="0" fontId="12" fillId="37" borderId="8" xfId="0" applyFont="1" applyFill="1" applyBorder="1">
      <alignment horizontal="right"/>
    </xf>
    <xf numFmtId="0" fontId="57" fillId="37" borderId="0" xfId="0" applyFont="1" applyFill="1" applyBorder="1" applyAlignment="1">
      <alignment horizontal="left"/>
    </xf>
    <xf numFmtId="0" fontId="0" fillId="37" borderId="0" xfId="0" applyFill="1" applyBorder="1">
      <alignment horizontal="right"/>
    </xf>
    <xf numFmtId="0" fontId="8" fillId="37" borderId="0" xfId="0" applyFont="1" applyFill="1" applyBorder="1" applyAlignment="1">
      <alignment horizontal="left"/>
    </xf>
    <xf numFmtId="0" fontId="0" fillId="37" borderId="3" xfId="0" applyFill="1" applyBorder="1">
      <alignment horizontal="right"/>
    </xf>
    <xf numFmtId="0" fontId="39" fillId="37" borderId="0" xfId="0" applyFont="1" applyFill="1" applyBorder="1" applyAlignment="1">
      <alignment horizontal="left"/>
    </xf>
    <xf numFmtId="0" fontId="0" fillId="37" borderId="8" xfId="0" applyFill="1" applyBorder="1">
      <alignment horizontal="right"/>
    </xf>
    <xf numFmtId="49" fontId="0" fillId="37" borderId="0" xfId="0" applyNumberFormat="1" applyFill="1" applyBorder="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NumberFormat="1"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2" fillId="37" borderId="0" xfId="0" applyFont="1" applyFill="1" applyBorder="1" applyAlignment="1">
      <alignment horizontal="centerContinuous"/>
    </xf>
    <xf numFmtId="0" fontId="12" fillId="37" borderId="8"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Border="1" applyAlignment="1">
      <alignment horizontal="centerContinuous"/>
    </xf>
    <xf numFmtId="0" fontId="12" fillId="37" borderId="15" xfId="0" applyFont="1" applyFill="1" applyBorder="1">
      <alignment horizontal="right"/>
    </xf>
    <xf numFmtId="0" fontId="12" fillId="37" borderId="5" xfId="0" applyFont="1" applyFill="1" applyBorder="1">
      <alignment horizontal="right"/>
    </xf>
    <xf numFmtId="0" fontId="12" fillId="37" borderId="16" xfId="0" applyFont="1" applyFill="1" applyBorder="1">
      <alignment horizontal="right"/>
    </xf>
    <xf numFmtId="0" fontId="14" fillId="37" borderId="0" xfId="0" applyFont="1" applyFill="1" applyBorder="1" applyAlignment="1">
      <alignment horizontal="left" vertical="top" indent="1"/>
    </xf>
    <xf numFmtId="0" fontId="12" fillId="37" borderId="8" xfId="0" applyFont="1" applyFill="1" applyBorder="1" applyAlignment="1"/>
    <xf numFmtId="0" fontId="7" fillId="37" borderId="0" xfId="0" applyFont="1" applyFill="1" applyBorder="1">
      <alignment horizontal="right"/>
    </xf>
    <xf numFmtId="0" fontId="29" fillId="37" borderId="0" xfId="0" applyFont="1" applyFill="1" applyAlignment="1">
      <alignment horizontal="left" vertical="top" wrapText="1"/>
    </xf>
    <xf numFmtId="0" fontId="0" fillId="0" borderId="0" xfId="0">
      <alignment horizontal="right"/>
    </xf>
    <xf numFmtId="0" fontId="33" fillId="4" borderId="0" xfId="21" applyFont="1" applyBorder="1" applyAlignment="1">
      <alignment horizontal="center" vertical="center" wrapText="1"/>
    </xf>
    <xf numFmtId="0" fontId="33" fillId="4" borderId="0" xfId="21" applyFont="1" applyBorder="1">
      <alignment horizontal="center" wrapText="1"/>
    </xf>
    <xf numFmtId="0" fontId="60" fillId="37" borderId="0" xfId="0" applyFont="1" applyFill="1" applyBorder="1" applyAlignment="1">
      <alignment horizontal="centerContinuous"/>
    </xf>
    <xf numFmtId="0" fontId="61" fillId="37" borderId="3" xfId="0" applyFont="1" applyFill="1" applyBorder="1" applyAlignment="1">
      <alignment horizontal="centerContinuous"/>
    </xf>
    <xf numFmtId="0" fontId="0" fillId="37" borderId="0" xfId="0" applyFont="1" applyFill="1" applyBorder="1" applyAlignment="1">
      <alignment vertical="top" wrapText="1"/>
    </xf>
    <xf numFmtId="0" fontId="39" fillId="4" borderId="0" xfId="21" applyFont="1" applyFill="1" applyBorder="1" applyAlignment="1">
      <alignment horizontal="center" vertical="center" wrapText="1"/>
    </xf>
    <xf numFmtId="0" fontId="25" fillId="4" borderId="0" xfId="29" applyFont="1" applyBorder="1">
      <alignment horizontal="left"/>
    </xf>
    <xf numFmtId="0" fontId="0" fillId="0" borderId="0" xfId="0">
      <alignment horizontal="right"/>
    </xf>
    <xf numFmtId="0" fontId="24" fillId="0" borderId="1" xfId="6" applyProtection="1">
      <protection locked="0"/>
    </xf>
    <xf numFmtId="0" fontId="24" fillId="37" borderId="1" xfId="6" applyFill="1" applyAlignment="1">
      <alignment wrapText="1"/>
      <protection locked="0"/>
    </xf>
    <xf numFmtId="0" fontId="24" fillId="37" borderId="1" xfId="6" applyFill="1">
      <protection locked="0"/>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9" fontId="22" fillId="5" borderId="21" xfId="10" applyBorder="1" applyAlignment="1">
      <alignment horizontal="center" vertical="center"/>
    </xf>
    <xf numFmtId="169" fontId="22" fillId="5" borderId="26" xfId="10" applyBorder="1" applyAlignment="1">
      <alignment horizontal="center" vertical="center"/>
    </xf>
    <xf numFmtId="169"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9"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a:extLst>
            <a:ext uri="{FF2B5EF4-FFF2-40B4-BE49-F238E27FC236}">
              <a16:creationId xmlns:a16="http://schemas.microsoft.com/office/drawing/2014/main" id="{00000000-0008-0000-0000-000085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view="pageBreakPreview" zoomScaleNormal="100" zoomScaleSheetLayoutView="100" workbookViewId="0">
      <selection activeCell="D12" sqref="D12"/>
    </sheetView>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39"/>
      <c r="B1" s="240"/>
      <c r="C1" s="240"/>
      <c r="D1" s="241"/>
    </row>
    <row r="2" spans="1:4" ht="236.25" customHeight="1" x14ac:dyDescent="0.2">
      <c r="A2" s="224"/>
      <c r="B2" s="226"/>
      <c r="C2" s="226"/>
      <c r="D2" s="227"/>
    </row>
    <row r="3" spans="1:4" ht="23.25" x14ac:dyDescent="0.35">
      <c r="A3" s="242" t="s">
        <v>9</v>
      </c>
      <c r="B3" s="243"/>
      <c r="C3" s="243"/>
      <c r="D3" s="244"/>
    </row>
    <row r="4" spans="1:4" ht="27.75" customHeight="1" x14ac:dyDescent="0.35">
      <c r="A4" s="242" t="s">
        <v>262</v>
      </c>
      <c r="B4" s="243"/>
      <c r="C4" s="243"/>
      <c r="D4" s="244"/>
    </row>
    <row r="5" spans="1:4" ht="27.75" customHeight="1" x14ac:dyDescent="0.35">
      <c r="A5" s="242" t="s">
        <v>0</v>
      </c>
      <c r="B5" s="243"/>
      <c r="C5" s="243"/>
      <c r="D5" s="244"/>
    </row>
    <row r="6" spans="1:4" ht="21" x14ac:dyDescent="0.35">
      <c r="A6" s="245" t="s">
        <v>274</v>
      </c>
      <c r="B6" s="243"/>
      <c r="C6" s="243"/>
      <c r="D6" s="244"/>
    </row>
    <row r="7" spans="1:4" ht="60" customHeight="1" x14ac:dyDescent="0.2">
      <c r="A7" s="246"/>
      <c r="B7" s="243"/>
      <c r="C7" s="243"/>
      <c r="D7" s="244"/>
    </row>
    <row r="8" spans="1:4" ht="15" customHeight="1" x14ac:dyDescent="0.2">
      <c r="A8" s="224"/>
      <c r="B8" s="252" t="s">
        <v>7</v>
      </c>
      <c r="C8" s="47" t="s">
        <v>313</v>
      </c>
      <c r="D8" s="253"/>
    </row>
    <row r="9" spans="1:4" ht="3" customHeight="1" x14ac:dyDescent="0.2">
      <c r="A9" s="224"/>
      <c r="B9" s="226"/>
      <c r="C9" s="226"/>
      <c r="D9" s="227"/>
    </row>
    <row r="10" spans="1:4" ht="15" customHeight="1" x14ac:dyDescent="0.2">
      <c r="A10" s="224"/>
      <c r="B10" s="252" t="s">
        <v>8</v>
      </c>
      <c r="C10" s="46">
        <v>44286</v>
      </c>
      <c r="D10" s="227"/>
    </row>
    <row r="11" spans="1:4" ht="3" customHeight="1" x14ac:dyDescent="0.2">
      <c r="A11" s="224"/>
      <c r="B11" s="226"/>
      <c r="C11" s="254"/>
      <c r="D11" s="227"/>
    </row>
    <row r="12" spans="1:4" ht="15" customHeight="1" x14ac:dyDescent="0.2">
      <c r="A12" s="224"/>
      <c r="B12" s="252" t="s">
        <v>266</v>
      </c>
      <c r="C12" s="46">
        <v>44287</v>
      </c>
      <c r="D12" s="227"/>
    </row>
    <row r="13" spans="1:4" ht="15" customHeight="1" x14ac:dyDescent="0.2">
      <c r="A13" s="224"/>
      <c r="B13" s="229"/>
      <c r="C13" s="229"/>
      <c r="D13" s="227"/>
    </row>
    <row r="14" spans="1:4" ht="15" customHeight="1" x14ac:dyDescent="0.2">
      <c r="A14" s="224"/>
      <c r="B14" s="229"/>
      <c r="C14" s="229"/>
      <c r="D14" s="244"/>
    </row>
    <row r="15" spans="1:4" ht="15" customHeight="1" x14ac:dyDescent="0.2">
      <c r="A15" s="247" t="s">
        <v>267</v>
      </c>
      <c r="B15" s="248"/>
      <c r="C15" s="243"/>
      <c r="D15" s="244"/>
    </row>
    <row r="16" spans="1:4" x14ac:dyDescent="0.2">
      <c r="A16" s="260" t="s">
        <v>311</v>
      </c>
      <c r="B16" s="259"/>
      <c r="C16" s="259"/>
      <c r="D16" s="244"/>
    </row>
    <row r="17" spans="1:4" ht="39.950000000000003" customHeight="1" x14ac:dyDescent="0.2">
      <c r="A17" s="249"/>
      <c r="B17" s="250"/>
      <c r="C17" s="250"/>
      <c r="D17" s="251"/>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type="date" operator="greaterThan" allowBlank="1" showInputMessage="1" showErrorMessage="1" errorTitle="Date entry" error="Dates after 1 January 2011 accepted" promptTitle="Date entry" prompt=" " sqref="C12 C10" xr:uid="{00000000-0002-0000-0000-000000000000}">
      <formula1>40544</formula1>
    </dataValidation>
    <dataValidation allowBlank="1" showInputMessage="1" promptTitle="Name of regulated entity" prompt=" " sqref="C8" xr:uid="{00000000-0002-0000-0000-000001000000}"/>
  </dataValidations>
  <pageMargins left="0.70866141732283472" right="0.70866141732283472" top="0.74803149606299213" bottom="0.74803149606299213" header="0.31496062992125984" footer="0.31496062992125984"/>
  <pageSetup paperSize="9" scale="72" orientation="portrait" cellComments="asDisplayed" r:id="rId2"/>
  <headerFooter>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480A1-DDA3-47BF-884F-30A4048FBA44}">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style="264" customWidth="1"/>
    <col min="2" max="2" width="3.28515625" style="264" customWidth="1"/>
    <col min="3" max="3" width="6.140625" style="264" customWidth="1"/>
    <col min="4" max="5" width="2.28515625" style="264" customWidth="1"/>
    <col min="6" max="6" width="41.5703125" style="264" customWidth="1"/>
    <col min="7" max="7" width="30.42578125" style="264" customWidth="1"/>
    <col min="8" max="13" width="16.140625" style="264" customWidth="1"/>
    <col min="14" max="14" width="1.7109375" style="264" customWidth="1"/>
    <col min="15" max="16384" width="9.140625" style="264"/>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148"/>
      <c r="C2" s="148"/>
      <c r="D2" s="148"/>
      <c r="E2" s="148"/>
      <c r="F2" s="148"/>
      <c r="G2" s="148"/>
      <c r="H2" s="148"/>
      <c r="I2" s="28"/>
      <c r="J2" s="42" t="s">
        <v>7</v>
      </c>
      <c r="K2" s="280" t="str">
        <f>IF(NOT(ISBLANK(CoverSheet!$C$8)),CoverSheet!$C$8,"")</f>
        <v>Aurora Energy Limited</v>
      </c>
      <c r="L2" s="280"/>
      <c r="M2" s="280"/>
      <c r="N2" s="25"/>
    </row>
    <row r="3" spans="1:14" ht="18" customHeight="1" x14ac:dyDescent="0.3">
      <c r="A3" s="33"/>
      <c r="B3" s="148"/>
      <c r="C3" s="148"/>
      <c r="D3" s="148"/>
      <c r="E3" s="148"/>
      <c r="F3" s="148"/>
      <c r="G3" s="148"/>
      <c r="H3" s="148"/>
      <c r="I3" s="28"/>
      <c r="J3" s="42" t="s">
        <v>81</v>
      </c>
      <c r="K3" s="281" t="str">
        <f>IF(ISNUMBER(CoverSheet!$C$12),TEXT(CoverSheet!$C$12,"_([$-1409]d mmmm yyyy;_(@")&amp;" –"&amp;TEXT(DATE(YEAR(CoverSheet!$C$12)+10,MONTH(CoverSheet!$C$12),DAY(CoverSheet!$C$12)-1),"_([$-1409]d mmmm yyyy;_(@"),"")</f>
        <v xml:space="preserve"> 1 April 2021 – 31 March 2031</v>
      </c>
      <c r="L3" s="281"/>
      <c r="M3" s="281"/>
      <c r="N3" s="25"/>
    </row>
    <row r="4" spans="1:14" ht="18" customHeight="1" x14ac:dyDescent="0.35">
      <c r="A4" s="83"/>
      <c r="B4" s="148"/>
      <c r="C4" s="148"/>
      <c r="D4" s="148"/>
      <c r="E4" s="148"/>
      <c r="F4" s="148"/>
      <c r="G4" s="148"/>
      <c r="H4" s="148"/>
      <c r="I4" s="40"/>
      <c r="J4" s="42" t="s">
        <v>66</v>
      </c>
      <c r="K4" s="287" t="s">
        <v>315</v>
      </c>
      <c r="L4" s="287"/>
      <c r="M4" s="287"/>
      <c r="N4" s="25"/>
    </row>
    <row r="5" spans="1:14" ht="21" x14ac:dyDescent="0.35">
      <c r="A5" s="149" t="s">
        <v>151</v>
      </c>
      <c r="B5" s="148"/>
      <c r="C5" s="148"/>
      <c r="D5" s="148"/>
      <c r="E5" s="148"/>
      <c r="F5" s="148"/>
      <c r="G5" s="148"/>
      <c r="H5" s="148"/>
      <c r="I5" s="40"/>
      <c r="J5" s="42"/>
      <c r="K5" s="42"/>
      <c r="L5" s="42"/>
      <c r="M5" s="42"/>
      <c r="N5" s="25"/>
    </row>
    <row r="6" spans="1:14" s="19" customFormat="1" ht="33" customHeight="1" x14ac:dyDescent="0.2">
      <c r="A6" s="288" t="s">
        <v>208</v>
      </c>
      <c r="B6" s="289"/>
      <c r="C6" s="289"/>
      <c r="D6" s="289"/>
      <c r="E6" s="289"/>
      <c r="F6" s="289"/>
      <c r="G6" s="289"/>
      <c r="H6" s="289"/>
      <c r="I6" s="289"/>
      <c r="J6" s="289"/>
      <c r="K6" s="289"/>
      <c r="L6" s="289"/>
      <c r="M6" s="289"/>
      <c r="N6" s="43"/>
    </row>
    <row r="7" spans="1:14" ht="15" customHeight="1" x14ac:dyDescent="0.2">
      <c r="A7" s="38" t="s">
        <v>240</v>
      </c>
      <c r="B7" s="56"/>
      <c r="C7" s="35"/>
      <c r="D7" s="148"/>
      <c r="E7" s="148"/>
      <c r="F7" s="148"/>
      <c r="G7" s="148"/>
      <c r="H7" s="148"/>
      <c r="I7" s="148"/>
      <c r="J7" s="148"/>
      <c r="K7" s="148"/>
      <c r="L7" s="148"/>
      <c r="M7" s="148"/>
      <c r="N7" s="25"/>
    </row>
    <row r="8" spans="1:14" ht="14.25" customHeight="1" x14ac:dyDescent="0.2">
      <c r="A8" s="58">
        <v>8</v>
      </c>
      <c r="B8" s="150"/>
      <c r="C8" s="147"/>
      <c r="D8" s="147"/>
      <c r="E8" s="147"/>
      <c r="F8" s="147"/>
      <c r="G8" s="34"/>
      <c r="H8" s="34" t="s">
        <v>82</v>
      </c>
      <c r="I8" s="34" t="s">
        <v>161</v>
      </c>
      <c r="J8" s="34" t="s">
        <v>162</v>
      </c>
      <c r="K8" s="34" t="s">
        <v>163</v>
      </c>
      <c r="L8" s="34" t="s">
        <v>164</v>
      </c>
      <c r="M8" s="34" t="s">
        <v>165</v>
      </c>
      <c r="N8" s="37"/>
    </row>
    <row r="9" spans="1:14" ht="12.75" customHeight="1" x14ac:dyDescent="0.2">
      <c r="A9" s="58">
        <v>9</v>
      </c>
      <c r="B9" s="147"/>
      <c r="C9" s="26"/>
      <c r="D9" s="147"/>
      <c r="E9" s="60"/>
      <c r="F9" s="79"/>
      <c r="G9" s="189" t="str">
        <f>IF(ISNUMBER(CoverSheet!$C$12),"for year ended","")</f>
        <v>for year ended</v>
      </c>
      <c r="H9" s="50">
        <f>IF(ISNUMBER(CoverSheet!$C$12),DATE(YEAR(CoverSheet!$C$12),MONTH(CoverSheet!$C$12),DAY(CoverSheet!$C$12))-1,"")</f>
        <v>44286</v>
      </c>
      <c r="I9" s="50">
        <f>IF(ISNUMBER(CoverSheet!$C$12),DATE(YEAR(CoverSheet!$C$12)+1,MONTH(CoverSheet!$C$12),DAY(CoverSheet!$C$12))-1,"")</f>
        <v>44651</v>
      </c>
      <c r="J9" s="50">
        <f>IF(ISNUMBER(CoverSheet!$C$12),DATE(YEAR(CoverSheet!$C$12)+2,MONTH(CoverSheet!$C$12),DAY(CoverSheet!$C$12))-1,"")</f>
        <v>45016</v>
      </c>
      <c r="K9" s="50">
        <f>IF(ISNUMBER(CoverSheet!$C$12),DATE(YEAR(CoverSheet!$C$12)+3,MONTH(CoverSheet!$C$12),DAY(CoverSheet!$C$12))-1,"")</f>
        <v>45382</v>
      </c>
      <c r="L9" s="50">
        <f>IF(ISNUMBER(CoverSheet!$C$12),DATE(YEAR(CoverSheet!$C$12)+4,MONTH(CoverSheet!$C$12),DAY(CoverSheet!$C$12))-1,"")</f>
        <v>45747</v>
      </c>
      <c r="M9" s="50">
        <f>IF(ISNUMBER(CoverSheet!$C$12),DATE(YEAR(CoverSheet!$C$12)+5,MONTH(CoverSheet!$C$12),DAY(CoverSheet!$C$12))-1,"")</f>
        <v>46112</v>
      </c>
      <c r="N9" s="20"/>
    </row>
    <row r="10" spans="1:14" ht="12.75" customHeight="1" x14ac:dyDescent="0.2">
      <c r="A10" s="58">
        <v>10</v>
      </c>
      <c r="B10" s="147"/>
      <c r="C10" s="26"/>
      <c r="D10" s="147"/>
      <c r="E10" s="60" t="s">
        <v>12</v>
      </c>
      <c r="F10" s="79"/>
      <c r="G10" s="189"/>
      <c r="H10" s="59"/>
      <c r="I10" s="50"/>
      <c r="J10" s="50"/>
      <c r="K10" s="50"/>
      <c r="L10" s="50"/>
      <c r="M10" s="50"/>
      <c r="N10" s="20"/>
    </row>
    <row r="11" spans="1:14" ht="15" customHeight="1" x14ac:dyDescent="0.2">
      <c r="A11" s="58">
        <v>11</v>
      </c>
      <c r="B11" s="147"/>
      <c r="C11" s="36"/>
      <c r="D11" s="147"/>
      <c r="E11" s="79"/>
      <c r="F11" s="79" t="s">
        <v>10</v>
      </c>
      <c r="G11" s="62"/>
      <c r="H11" s="180">
        <v>117.57599999999999</v>
      </c>
      <c r="I11" s="180">
        <v>117.57599999999999</v>
      </c>
      <c r="J11" s="180">
        <v>117.57599999999999</v>
      </c>
      <c r="K11" s="180">
        <v>117.57599999999999</v>
      </c>
      <c r="L11" s="180">
        <v>117.57599999999999</v>
      </c>
      <c r="M11" s="180">
        <v>117.57599999999999</v>
      </c>
      <c r="N11" s="20"/>
    </row>
    <row r="12" spans="1:14" ht="15" customHeight="1" x14ac:dyDescent="0.2">
      <c r="A12" s="58">
        <v>12</v>
      </c>
      <c r="B12" s="147"/>
      <c r="C12" s="36"/>
      <c r="D12" s="147"/>
      <c r="E12" s="79"/>
      <c r="F12" s="79" t="s">
        <v>11</v>
      </c>
      <c r="G12" s="150"/>
      <c r="H12" s="180">
        <v>49.975999999999999</v>
      </c>
      <c r="I12" s="180">
        <v>56.804000000000002</v>
      </c>
      <c r="J12" s="180">
        <v>56.804000000000002</v>
      </c>
      <c r="K12" s="180">
        <v>56.804000000000002</v>
      </c>
      <c r="L12" s="180">
        <v>56.804000000000002</v>
      </c>
      <c r="M12" s="180">
        <v>56.804000000000002</v>
      </c>
      <c r="N12" s="20"/>
    </row>
    <row r="13" spans="1:14" ht="30" customHeight="1" x14ac:dyDescent="0.2">
      <c r="A13" s="58">
        <v>13</v>
      </c>
      <c r="B13" s="147"/>
      <c r="C13" s="79"/>
      <c r="D13" s="147"/>
      <c r="E13" s="60" t="s">
        <v>142</v>
      </c>
      <c r="F13" s="79"/>
      <c r="G13" s="147"/>
      <c r="H13" s="147"/>
      <c r="I13" s="147"/>
      <c r="J13" s="147"/>
      <c r="K13" s="147"/>
      <c r="L13" s="147"/>
      <c r="M13" s="147"/>
      <c r="N13" s="20"/>
    </row>
    <row r="14" spans="1:14" ht="15" customHeight="1" x14ac:dyDescent="0.2">
      <c r="A14" s="58">
        <v>14</v>
      </c>
      <c r="B14" s="147"/>
      <c r="C14" s="36"/>
      <c r="D14" s="147"/>
      <c r="E14" s="79"/>
      <c r="F14" s="79" t="s">
        <v>10</v>
      </c>
      <c r="G14" s="150"/>
      <c r="H14" s="176">
        <v>0.66480000000000006</v>
      </c>
      <c r="I14" s="176">
        <v>0.66480000000000006</v>
      </c>
      <c r="J14" s="176">
        <v>0.66480000000000006</v>
      </c>
      <c r="K14" s="176">
        <v>0.66480000000000006</v>
      </c>
      <c r="L14" s="176">
        <v>0.66480000000000006</v>
      </c>
      <c r="M14" s="176">
        <v>0.66480000000000006</v>
      </c>
      <c r="N14" s="20"/>
    </row>
    <row r="15" spans="1:14" ht="15" customHeight="1" x14ac:dyDescent="0.2">
      <c r="A15" s="58">
        <v>15</v>
      </c>
      <c r="B15" s="147"/>
      <c r="C15" s="36"/>
      <c r="D15" s="147"/>
      <c r="E15" s="79"/>
      <c r="F15" s="79" t="s">
        <v>11</v>
      </c>
      <c r="G15" s="150"/>
      <c r="H15" s="176">
        <v>0.82840000000000014</v>
      </c>
      <c r="I15" s="176">
        <v>0.90399999999999991</v>
      </c>
      <c r="J15" s="176">
        <v>0.90399999999999991</v>
      </c>
      <c r="K15" s="176">
        <v>0.90399999999999991</v>
      </c>
      <c r="L15" s="176">
        <v>0.90399999999999991</v>
      </c>
      <c r="M15" s="176">
        <v>0.90399999999999991</v>
      </c>
      <c r="N15" s="20"/>
    </row>
    <row r="16" spans="1:14" x14ac:dyDescent="0.2">
      <c r="A16" s="22"/>
      <c r="B16" s="23"/>
      <c r="C16" s="23"/>
      <c r="D16" s="23"/>
      <c r="E16" s="23"/>
      <c r="F16" s="23"/>
      <c r="G16" s="23"/>
      <c r="H16" s="23"/>
      <c r="I16" s="23"/>
      <c r="J16" s="23"/>
      <c r="K16" s="23"/>
      <c r="L16" s="23"/>
      <c r="M16" s="23"/>
      <c r="N16" s="24"/>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9CDAA8CA-9D3B-42CE-AAF7-EDB8A6D10764}"/>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M21" sqref="M21"/>
    </sheetView>
  </sheetViews>
  <sheetFormatPr defaultRowHeight="12.75" x14ac:dyDescent="0.2"/>
  <cols>
    <col min="1" max="1" width="4.5703125" style="17" customWidth="1"/>
    <col min="2" max="2" width="3.28515625" style="17" customWidth="1"/>
    <col min="3" max="3" width="6.140625" style="17" customWidth="1"/>
    <col min="4" max="5" width="2.28515625" style="17" customWidth="1"/>
    <col min="6" max="6" width="41.5703125" style="17" customWidth="1"/>
    <col min="7" max="7" width="30.42578125" style="17" customWidth="1"/>
    <col min="8" max="13" width="16.140625" style="17" customWidth="1"/>
    <col min="14" max="14" width="1.7109375" style="17" customWidth="1"/>
    <col min="15" max="16384" width="9.140625" style="17"/>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76"/>
      <c r="C2" s="76"/>
      <c r="D2" s="76"/>
      <c r="E2" s="76"/>
      <c r="F2" s="76"/>
      <c r="G2" s="76"/>
      <c r="H2" s="76"/>
      <c r="I2" s="28"/>
      <c r="J2" s="42" t="s">
        <v>7</v>
      </c>
      <c r="K2" s="280" t="str">
        <f>IF(NOT(ISBLANK(CoverSheet!$C$8)),CoverSheet!$C$8,"")</f>
        <v>Aurora Energy Limited</v>
      </c>
      <c r="L2" s="280"/>
      <c r="M2" s="280"/>
      <c r="N2" s="25"/>
    </row>
    <row r="3" spans="1:14" ht="18" customHeight="1" x14ac:dyDescent="0.3">
      <c r="A3" s="33"/>
      <c r="B3" s="76"/>
      <c r="C3" s="76"/>
      <c r="D3" s="76"/>
      <c r="E3" s="76"/>
      <c r="F3" s="76"/>
      <c r="G3" s="76"/>
      <c r="H3" s="76"/>
      <c r="I3" s="28"/>
      <c r="J3" s="42" t="s">
        <v>81</v>
      </c>
      <c r="K3" s="281" t="str">
        <f>IF(ISNUMBER(CoverSheet!$C$12),TEXT(CoverSheet!$C$12,"_([$-1409]d mmmm yyyy;_(@")&amp;" –"&amp;TEXT(DATE(YEAR(CoverSheet!$C$12)+10,MONTH(CoverSheet!$C$12),DAY(CoverSheet!$C$12)-1),"_([$-1409]d mmmm yyyy;_(@"),"")</f>
        <v xml:space="preserve"> 1 April 2021 – 31 March 2031</v>
      </c>
      <c r="L3" s="281"/>
      <c r="M3" s="281"/>
      <c r="N3" s="25"/>
    </row>
    <row r="4" spans="1:14" ht="18" customHeight="1" x14ac:dyDescent="0.35">
      <c r="A4" s="77"/>
      <c r="B4" s="76"/>
      <c r="C4" s="76"/>
      <c r="D4" s="76"/>
      <c r="E4" s="76"/>
      <c r="F4" s="76"/>
      <c r="G4" s="76"/>
      <c r="H4" s="76"/>
      <c r="I4" s="40"/>
      <c r="J4" s="42" t="s">
        <v>66</v>
      </c>
      <c r="K4" s="287" t="s">
        <v>316</v>
      </c>
      <c r="L4" s="287"/>
      <c r="M4" s="287"/>
      <c r="N4" s="25"/>
    </row>
    <row r="5" spans="1:14" s="80" customFormat="1" ht="21" x14ac:dyDescent="0.35">
      <c r="A5" s="85" t="s">
        <v>151</v>
      </c>
      <c r="B5" s="81"/>
      <c r="C5" s="81"/>
      <c r="D5" s="81"/>
      <c r="E5" s="81"/>
      <c r="F5" s="81"/>
      <c r="G5" s="81"/>
      <c r="H5" s="81"/>
      <c r="I5" s="40"/>
      <c r="J5" s="42"/>
      <c r="K5" s="42"/>
      <c r="L5" s="42"/>
      <c r="M5" s="42"/>
      <c r="N5" s="25"/>
    </row>
    <row r="6" spans="1:14" s="18" customFormat="1" ht="33" customHeight="1" x14ac:dyDescent="0.2">
      <c r="A6" s="288" t="s">
        <v>208</v>
      </c>
      <c r="B6" s="289"/>
      <c r="C6" s="289"/>
      <c r="D6" s="289"/>
      <c r="E6" s="289"/>
      <c r="F6" s="289"/>
      <c r="G6" s="289"/>
      <c r="H6" s="289"/>
      <c r="I6" s="289"/>
      <c r="J6" s="289"/>
      <c r="K6" s="289"/>
      <c r="L6" s="289"/>
      <c r="M6" s="289"/>
      <c r="N6" s="43"/>
    </row>
    <row r="7" spans="1:14" ht="15" customHeight="1" x14ac:dyDescent="0.2">
      <c r="A7" s="38" t="s">
        <v>240</v>
      </c>
      <c r="B7" s="56"/>
      <c r="C7" s="35"/>
      <c r="D7" s="76"/>
      <c r="E7" s="76"/>
      <c r="F7" s="76"/>
      <c r="G7" s="76"/>
      <c r="H7" s="76"/>
      <c r="I7" s="76"/>
      <c r="J7" s="76"/>
      <c r="K7" s="76"/>
      <c r="L7" s="76"/>
      <c r="M7" s="76"/>
      <c r="N7" s="25"/>
    </row>
    <row r="8" spans="1:14" ht="14.25" customHeight="1" x14ac:dyDescent="0.2">
      <c r="A8" s="58">
        <v>8</v>
      </c>
      <c r="B8" s="78"/>
      <c r="C8" s="75"/>
      <c r="D8" s="75"/>
      <c r="E8" s="75"/>
      <c r="F8" s="75"/>
      <c r="G8" s="34"/>
      <c r="H8" s="34" t="s">
        <v>82</v>
      </c>
      <c r="I8" s="34" t="s">
        <v>161</v>
      </c>
      <c r="J8" s="34" t="s">
        <v>162</v>
      </c>
      <c r="K8" s="34" t="s">
        <v>163</v>
      </c>
      <c r="L8" s="34" t="s">
        <v>164</v>
      </c>
      <c r="M8" s="34" t="s">
        <v>165</v>
      </c>
      <c r="N8" s="37"/>
    </row>
    <row r="9" spans="1:14" ht="12.75" customHeight="1" x14ac:dyDescent="0.2">
      <c r="A9" s="58">
        <v>9</v>
      </c>
      <c r="B9" s="75"/>
      <c r="C9" s="26"/>
      <c r="D9" s="75"/>
      <c r="E9" s="60"/>
      <c r="F9" s="79"/>
      <c r="G9" s="189" t="str">
        <f>IF(ISNUMBER(CoverSheet!$C$12),"for year ended","")</f>
        <v>for year ended</v>
      </c>
      <c r="H9" s="50">
        <f>IF(ISNUMBER(CoverSheet!$C$12),DATE(YEAR(CoverSheet!$C$12),MONTH(CoverSheet!$C$12),DAY(CoverSheet!$C$12))-1,"")</f>
        <v>44286</v>
      </c>
      <c r="I9" s="50">
        <f>IF(ISNUMBER(CoverSheet!$C$12),DATE(YEAR(CoverSheet!$C$12)+1,MONTH(CoverSheet!$C$12),DAY(CoverSheet!$C$12))-1,"")</f>
        <v>44651</v>
      </c>
      <c r="J9" s="50">
        <f>IF(ISNUMBER(CoverSheet!$C$12),DATE(YEAR(CoverSheet!$C$12)+2,MONTH(CoverSheet!$C$12),DAY(CoverSheet!$C$12))-1,"")</f>
        <v>45016</v>
      </c>
      <c r="K9" s="50">
        <f>IF(ISNUMBER(CoverSheet!$C$12),DATE(YEAR(CoverSheet!$C$12)+3,MONTH(CoverSheet!$C$12),DAY(CoverSheet!$C$12))-1,"")</f>
        <v>45382</v>
      </c>
      <c r="L9" s="50">
        <f>IF(ISNUMBER(CoverSheet!$C$12),DATE(YEAR(CoverSheet!$C$12)+4,MONTH(CoverSheet!$C$12),DAY(CoverSheet!$C$12))-1,"")</f>
        <v>45747</v>
      </c>
      <c r="M9" s="50">
        <f>IF(ISNUMBER(CoverSheet!$C$12),DATE(YEAR(CoverSheet!$C$12)+5,MONTH(CoverSheet!$C$12),DAY(CoverSheet!$C$12))-1,"")</f>
        <v>46112</v>
      </c>
      <c r="N9" s="20"/>
    </row>
    <row r="10" spans="1:14" s="73" customFormat="1" ht="12.75" customHeight="1" x14ac:dyDescent="0.2">
      <c r="A10" s="58">
        <v>10</v>
      </c>
      <c r="B10" s="75"/>
      <c r="C10" s="26"/>
      <c r="D10" s="75"/>
      <c r="E10" s="60" t="s">
        <v>12</v>
      </c>
      <c r="F10" s="79"/>
      <c r="G10" s="189"/>
      <c r="H10" s="59"/>
      <c r="I10" s="50"/>
      <c r="J10" s="50"/>
      <c r="K10" s="50"/>
      <c r="L10" s="50"/>
      <c r="M10" s="50"/>
      <c r="N10" s="20"/>
    </row>
    <row r="11" spans="1:14" ht="15" customHeight="1" x14ac:dyDescent="0.2">
      <c r="A11" s="58">
        <v>11</v>
      </c>
      <c r="B11" s="75"/>
      <c r="C11" s="36"/>
      <c r="D11" s="75"/>
      <c r="E11" s="79"/>
      <c r="F11" s="79" t="s">
        <v>10</v>
      </c>
      <c r="G11" s="62"/>
      <c r="H11" s="180">
        <v>78.384000000000015</v>
      </c>
      <c r="I11" s="180">
        <v>78.384000000000015</v>
      </c>
      <c r="J11" s="180">
        <v>78.384000000000015</v>
      </c>
      <c r="K11" s="180">
        <v>78.384000000000015</v>
      </c>
      <c r="L11" s="180">
        <v>78.384000000000015</v>
      </c>
      <c r="M11" s="180">
        <v>78.384000000000015</v>
      </c>
      <c r="N11" s="20"/>
    </row>
    <row r="12" spans="1:14" ht="15" customHeight="1" x14ac:dyDescent="0.2">
      <c r="A12" s="58">
        <v>12</v>
      </c>
      <c r="B12" s="75"/>
      <c r="C12" s="36"/>
      <c r="D12" s="75"/>
      <c r="E12" s="79"/>
      <c r="F12" s="79" t="s">
        <v>11</v>
      </c>
      <c r="G12" s="78"/>
      <c r="H12" s="180">
        <v>74.963999999999999</v>
      </c>
      <c r="I12" s="180">
        <v>85.205999999999989</v>
      </c>
      <c r="J12" s="180">
        <v>85.205999999999989</v>
      </c>
      <c r="K12" s="180">
        <v>85.205999999999989</v>
      </c>
      <c r="L12" s="180">
        <v>85.205999999999989</v>
      </c>
      <c r="M12" s="180">
        <v>85.205999999999989</v>
      </c>
      <c r="N12" s="20"/>
    </row>
    <row r="13" spans="1:14" ht="30" customHeight="1" x14ac:dyDescent="0.2">
      <c r="A13" s="58">
        <v>13</v>
      </c>
      <c r="B13" s="75"/>
      <c r="C13" s="79"/>
      <c r="D13" s="75"/>
      <c r="E13" s="60" t="s">
        <v>142</v>
      </c>
      <c r="F13" s="79"/>
      <c r="G13" s="75"/>
      <c r="H13" s="75"/>
      <c r="I13" s="75"/>
      <c r="J13" s="75"/>
      <c r="K13" s="75"/>
      <c r="L13" s="75"/>
      <c r="M13" s="75"/>
      <c r="N13" s="20"/>
    </row>
    <row r="14" spans="1:14" ht="15" customHeight="1" x14ac:dyDescent="0.2">
      <c r="A14" s="58">
        <v>14</v>
      </c>
      <c r="B14" s="75"/>
      <c r="C14" s="36"/>
      <c r="D14" s="75"/>
      <c r="E14" s="79"/>
      <c r="F14" s="79" t="s">
        <v>10</v>
      </c>
      <c r="G14" s="78"/>
      <c r="H14" s="176">
        <v>0.44320000000000004</v>
      </c>
      <c r="I14" s="176">
        <v>0.44320000000000004</v>
      </c>
      <c r="J14" s="176">
        <v>0.44320000000000004</v>
      </c>
      <c r="K14" s="176">
        <v>0.44320000000000004</v>
      </c>
      <c r="L14" s="176">
        <v>0.44320000000000004</v>
      </c>
      <c r="M14" s="176">
        <v>0.44320000000000004</v>
      </c>
      <c r="N14" s="20"/>
    </row>
    <row r="15" spans="1:14" ht="15" customHeight="1" x14ac:dyDescent="0.2">
      <c r="A15" s="58">
        <v>15</v>
      </c>
      <c r="B15" s="75"/>
      <c r="C15" s="36"/>
      <c r="D15" s="75"/>
      <c r="E15" s="79"/>
      <c r="F15" s="79" t="s">
        <v>11</v>
      </c>
      <c r="G15" s="78"/>
      <c r="H15" s="176">
        <v>1.2426000000000001</v>
      </c>
      <c r="I15" s="176">
        <v>1.3559999999999999</v>
      </c>
      <c r="J15" s="176">
        <v>1.3559999999999999</v>
      </c>
      <c r="K15" s="176">
        <v>1.3559999999999999</v>
      </c>
      <c r="L15" s="176">
        <v>1.3559999999999999</v>
      </c>
      <c r="M15" s="176">
        <v>1.3559999999999999</v>
      </c>
      <c r="N15" s="20"/>
    </row>
    <row r="16" spans="1:14" x14ac:dyDescent="0.2">
      <c r="A16" s="22"/>
      <c r="B16" s="23"/>
      <c r="C16" s="23"/>
      <c r="D16" s="23"/>
      <c r="E16" s="23"/>
      <c r="F16" s="23"/>
      <c r="G16" s="23"/>
      <c r="H16" s="23"/>
      <c r="I16" s="23"/>
      <c r="J16" s="23"/>
      <c r="K16" s="23"/>
      <c r="L16" s="23"/>
      <c r="M16" s="23"/>
      <c r="N16" s="24"/>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2"/>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20"/>
      <c r="B1" s="221"/>
      <c r="C1" s="222"/>
      <c r="D1" s="223"/>
    </row>
    <row r="2" spans="1:4" ht="15.75" x14ac:dyDescent="0.25">
      <c r="A2" s="224"/>
      <c r="B2" s="225" t="s">
        <v>3</v>
      </c>
      <c r="C2" s="226"/>
      <c r="D2" s="227"/>
    </row>
    <row r="3" spans="1:4" x14ac:dyDescent="0.2">
      <c r="A3" s="224"/>
      <c r="B3" s="228" t="s">
        <v>292</v>
      </c>
      <c r="C3" s="226"/>
      <c r="D3" s="227"/>
    </row>
    <row r="4" spans="1:4" x14ac:dyDescent="0.2">
      <c r="A4" s="224"/>
      <c r="B4" s="229"/>
      <c r="C4" s="230"/>
      <c r="D4" s="227"/>
    </row>
    <row r="5" spans="1:4" s="17" customFormat="1" x14ac:dyDescent="0.2">
      <c r="A5" s="231"/>
      <c r="B5" s="232" t="s">
        <v>1</v>
      </c>
      <c r="C5" s="232" t="s">
        <v>284</v>
      </c>
      <c r="D5" s="233"/>
    </row>
    <row r="6" spans="1:4" s="17" customFormat="1" x14ac:dyDescent="0.2">
      <c r="A6" s="231"/>
      <c r="B6" s="234" t="s">
        <v>145</v>
      </c>
      <c r="C6" s="235" t="s">
        <v>285</v>
      </c>
      <c r="D6" s="233"/>
    </row>
    <row r="7" spans="1:4" s="17" customFormat="1" x14ac:dyDescent="0.2">
      <c r="A7" s="231"/>
      <c r="B7" s="234" t="s">
        <v>154</v>
      </c>
      <c r="C7" s="235" t="s">
        <v>286</v>
      </c>
      <c r="D7" s="233"/>
    </row>
    <row r="8" spans="1:4" s="17" customFormat="1" x14ac:dyDescent="0.2">
      <c r="A8" s="231"/>
      <c r="B8" s="234" t="s">
        <v>155</v>
      </c>
      <c r="C8" s="235" t="s">
        <v>287</v>
      </c>
      <c r="D8" s="233"/>
    </row>
    <row r="9" spans="1:4" s="17" customFormat="1" x14ac:dyDescent="0.2">
      <c r="A9" s="231"/>
      <c r="B9" s="234" t="s">
        <v>156</v>
      </c>
      <c r="C9" s="235" t="s">
        <v>288</v>
      </c>
      <c r="D9" s="233"/>
    </row>
    <row r="10" spans="1:4" s="17" customFormat="1" x14ac:dyDescent="0.2">
      <c r="A10" s="231"/>
      <c r="B10" s="234" t="s">
        <v>294</v>
      </c>
      <c r="C10" s="235" t="s">
        <v>289</v>
      </c>
      <c r="D10" s="233"/>
    </row>
    <row r="11" spans="1:4" x14ac:dyDescent="0.2">
      <c r="A11" s="231"/>
      <c r="B11" s="234" t="s">
        <v>157</v>
      </c>
      <c r="C11" s="235" t="s">
        <v>290</v>
      </c>
      <c r="D11" s="233"/>
    </row>
    <row r="12" spans="1:4" x14ac:dyDescent="0.2">
      <c r="A12" s="231"/>
      <c r="B12" s="234" t="s">
        <v>89</v>
      </c>
      <c r="C12" s="235" t="s">
        <v>291</v>
      </c>
      <c r="D12" s="233"/>
    </row>
    <row r="13" spans="1:4" x14ac:dyDescent="0.2">
      <c r="A13" s="231"/>
      <c r="B13" s="229"/>
      <c r="C13" s="229"/>
      <c r="D13" s="233"/>
    </row>
    <row r="14" spans="1:4" x14ac:dyDescent="0.2">
      <c r="A14" s="231"/>
      <c r="B14" s="229"/>
      <c r="C14" s="229"/>
      <c r="D14" s="233"/>
    </row>
    <row r="15" spans="1:4" x14ac:dyDescent="0.2">
      <c r="A15" s="231"/>
      <c r="B15" s="229"/>
      <c r="C15" s="229"/>
      <c r="D15" s="233"/>
    </row>
    <row r="16" spans="1:4" x14ac:dyDescent="0.2">
      <c r="A16" s="236"/>
      <c r="B16" s="237"/>
      <c r="C16" s="237"/>
      <c r="D16" s="238"/>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2"/>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pageSetUpPr fitToPage="1"/>
  </sheetPr>
  <dimension ref="A1:C28"/>
  <sheetViews>
    <sheetView showGridLines="0" view="pageBreakPreview" zoomScaleNormal="100" zoomScaleSheetLayoutView="100" workbookViewId="0">
      <selection activeCell="B27" sqref="B27"/>
    </sheetView>
  </sheetViews>
  <sheetFormatPr defaultRowHeight="15" x14ac:dyDescent="0.2"/>
  <cols>
    <col min="1" max="1" width="9.140625" style="2"/>
    <col min="2" max="2" width="110.85546875" style="2" customWidth="1"/>
    <col min="3" max="3" width="9.140625" style="2" customWidth="1"/>
    <col min="4" max="16384" width="9.140625" style="2"/>
  </cols>
  <sheetData>
    <row r="1" spans="1:3" x14ac:dyDescent="0.2">
      <c r="A1" s="205"/>
      <c r="B1" s="268"/>
      <c r="C1" s="269"/>
    </row>
    <row r="2" spans="1:3" ht="15.75" x14ac:dyDescent="0.25">
      <c r="A2" s="206"/>
      <c r="B2" s="207" t="s">
        <v>297</v>
      </c>
      <c r="C2" s="208"/>
    </row>
    <row r="3" spans="1:3" ht="63.75" x14ac:dyDescent="0.2">
      <c r="A3" s="206"/>
      <c r="B3" s="255" t="s">
        <v>298</v>
      </c>
      <c r="C3" s="208"/>
    </row>
    <row r="4" spans="1:3" x14ac:dyDescent="0.2">
      <c r="A4" s="206"/>
      <c r="B4" s="209"/>
      <c r="C4" s="208"/>
    </row>
    <row r="5" spans="1:3" ht="15.75" x14ac:dyDescent="0.2">
      <c r="A5" s="206"/>
      <c r="B5" s="210" t="s">
        <v>259</v>
      </c>
      <c r="C5" s="208"/>
    </row>
    <row r="6" spans="1:3" ht="38.25" x14ac:dyDescent="0.2">
      <c r="A6" s="206"/>
      <c r="B6" s="209" t="s">
        <v>268</v>
      </c>
      <c r="C6" s="208"/>
    </row>
    <row r="7" spans="1:3" ht="63.75" x14ac:dyDescent="0.2">
      <c r="A7" s="206"/>
      <c r="B7" s="209" t="s">
        <v>269</v>
      </c>
      <c r="C7" s="208"/>
    </row>
    <row r="8" spans="1:3" x14ac:dyDescent="0.2">
      <c r="A8" s="206"/>
      <c r="B8" s="211"/>
      <c r="C8" s="208"/>
    </row>
    <row r="9" spans="1:3" ht="15.75" x14ac:dyDescent="0.25">
      <c r="A9" s="206"/>
      <c r="B9" s="212" t="s">
        <v>260</v>
      </c>
      <c r="C9" s="208"/>
    </row>
    <row r="10" spans="1:3" ht="25.5" x14ac:dyDescent="0.2">
      <c r="A10" s="206"/>
      <c r="B10" s="209" t="s">
        <v>299</v>
      </c>
      <c r="C10" s="208"/>
    </row>
    <row r="11" spans="1:3" ht="25.5" x14ac:dyDescent="0.2">
      <c r="A11" s="206"/>
      <c r="B11" s="209" t="s">
        <v>301</v>
      </c>
      <c r="C11" s="208"/>
    </row>
    <row r="12" spans="1:3" x14ac:dyDescent="0.2">
      <c r="A12" s="206"/>
      <c r="B12" s="209"/>
      <c r="C12" s="208"/>
    </row>
    <row r="13" spans="1:3" ht="15.75" x14ac:dyDescent="0.2">
      <c r="A13" s="206"/>
      <c r="B13" s="210" t="s">
        <v>263</v>
      </c>
      <c r="C13" s="208"/>
    </row>
    <row r="14" spans="1:3" ht="38.25" x14ac:dyDescent="0.2">
      <c r="A14" s="206"/>
      <c r="B14" s="209" t="s">
        <v>264</v>
      </c>
      <c r="C14" s="208"/>
    </row>
    <row r="15" spans="1:3" x14ac:dyDescent="0.2">
      <c r="A15" s="206"/>
      <c r="B15" s="209"/>
      <c r="C15" s="208"/>
    </row>
    <row r="16" spans="1:3" ht="15.75" x14ac:dyDescent="0.2">
      <c r="A16" s="206"/>
      <c r="B16" s="210" t="s">
        <v>270</v>
      </c>
      <c r="C16" s="208"/>
    </row>
    <row r="17" spans="1:3" ht="15.75" customHeight="1" x14ac:dyDescent="0.2">
      <c r="A17" s="206"/>
      <c r="B17" s="209" t="s">
        <v>271</v>
      </c>
      <c r="C17" s="208"/>
    </row>
    <row r="18" spans="1:3" x14ac:dyDescent="0.2">
      <c r="A18" s="206"/>
      <c r="B18" s="209"/>
      <c r="C18" s="208"/>
    </row>
    <row r="19" spans="1:3" ht="15.75" x14ac:dyDescent="0.2">
      <c r="A19" s="206"/>
      <c r="B19" s="210" t="s">
        <v>261</v>
      </c>
      <c r="C19" s="208"/>
    </row>
    <row r="20" spans="1:3" ht="25.5" x14ac:dyDescent="0.2">
      <c r="A20" s="206"/>
      <c r="B20" s="209" t="s">
        <v>300</v>
      </c>
      <c r="C20" s="208"/>
    </row>
    <row r="21" spans="1:3" s="3" customFormat="1" ht="51" x14ac:dyDescent="0.2">
      <c r="A21" s="213"/>
      <c r="B21" s="214" t="s">
        <v>302</v>
      </c>
      <c r="C21" s="215"/>
    </row>
    <row r="22" spans="1:3" s="3" customFormat="1" x14ac:dyDescent="0.2">
      <c r="A22" s="213"/>
      <c r="B22" s="214"/>
      <c r="C22" s="215"/>
    </row>
    <row r="23" spans="1:3" s="3" customFormat="1" ht="15.75" x14ac:dyDescent="0.2">
      <c r="A23" s="213"/>
      <c r="B23" s="216" t="s">
        <v>293</v>
      </c>
      <c r="C23" s="215"/>
    </row>
    <row r="24" spans="1:3" s="3" customFormat="1" ht="38.25" x14ac:dyDescent="0.2">
      <c r="A24" s="213"/>
      <c r="B24" s="261" t="s">
        <v>312</v>
      </c>
      <c r="C24" s="215"/>
    </row>
    <row r="25" spans="1:3" x14ac:dyDescent="0.2">
      <c r="A25" s="206"/>
      <c r="B25" s="209"/>
      <c r="C25" s="208"/>
    </row>
    <row r="26" spans="1:3" ht="15.75" x14ac:dyDescent="0.2">
      <c r="A26" s="206"/>
      <c r="B26" s="216" t="s">
        <v>295</v>
      </c>
      <c r="C26" s="208"/>
    </row>
    <row r="27" spans="1:3" ht="38.25" x14ac:dyDescent="0.2">
      <c r="A27" s="206"/>
      <c r="B27" s="209" t="s">
        <v>296</v>
      </c>
      <c r="C27" s="208"/>
    </row>
    <row r="28" spans="1:3" s="3" customFormat="1" x14ac:dyDescent="0.2">
      <c r="A28" s="217"/>
      <c r="B28" s="218"/>
      <c r="C28" s="219"/>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89"/>
  <sheetViews>
    <sheetView showGridLines="0" tabSelected="1" view="pageBreakPreview" zoomScale="80" zoomScaleNormal="100" zoomScaleSheetLayoutView="80" workbookViewId="0">
      <selection activeCell="F26" sqref="F26"/>
    </sheetView>
  </sheetViews>
  <sheetFormatPr defaultRowHeight="12.75" x14ac:dyDescent="0.2"/>
  <cols>
    <col min="1" max="1" width="5" style="4" customWidth="1"/>
    <col min="2" max="2" width="2.140625" style="51" customWidth="1"/>
    <col min="3" max="3" width="6.140625" style="10" customWidth="1"/>
    <col min="4" max="4" width="2.28515625" style="11" customWidth="1"/>
    <col min="5" max="5" width="2.28515625" style="10" customWidth="1"/>
    <col min="6" max="6" width="53.28515625" style="15" customWidth="1"/>
    <col min="7" max="7" width="19" style="15" customWidth="1"/>
    <col min="8" max="8" width="16.140625" style="11" customWidth="1"/>
    <col min="9" max="13" width="16.140625" style="4" customWidth="1"/>
    <col min="14" max="14" width="16.28515625" style="4" customWidth="1"/>
    <col min="15" max="18" width="16.140625" style="4" customWidth="1"/>
    <col min="19" max="19" width="2.140625" style="7" customWidth="1"/>
    <col min="20" max="20" width="7.28515625" bestFit="1" customWidth="1"/>
    <col min="21" max="16384" width="9.140625" style="4"/>
  </cols>
  <sheetData>
    <row r="1" spans="1:20" s="8" customFormat="1" ht="15" customHeight="1" x14ac:dyDescent="0.2">
      <c r="A1" s="197"/>
      <c r="B1" s="31"/>
      <c r="C1" s="31"/>
      <c r="D1" s="31"/>
      <c r="E1" s="31"/>
      <c r="F1" s="31"/>
      <c r="G1" s="31"/>
      <c r="H1" s="31"/>
      <c r="I1" s="31"/>
      <c r="J1" s="31"/>
      <c r="K1" s="31"/>
      <c r="L1" s="31"/>
      <c r="M1" s="31"/>
      <c r="N1" s="31"/>
      <c r="O1" s="31"/>
      <c r="P1" s="31"/>
      <c r="Q1" s="31"/>
      <c r="R1" s="31"/>
      <c r="S1" s="32"/>
      <c r="T1" s="184"/>
    </row>
    <row r="2" spans="1:20" s="8" customFormat="1" ht="18" customHeight="1" x14ac:dyDescent="0.3">
      <c r="A2" s="33"/>
      <c r="B2" s="148"/>
      <c r="C2" s="148"/>
      <c r="D2" s="148"/>
      <c r="E2" s="148"/>
      <c r="F2" s="148"/>
      <c r="G2" s="148"/>
      <c r="H2" s="148"/>
      <c r="I2" s="148"/>
      <c r="J2" s="148"/>
      <c r="K2" s="148"/>
      <c r="L2" s="148"/>
      <c r="M2" s="148"/>
      <c r="N2" s="28"/>
      <c r="O2" s="42" t="s">
        <v>7</v>
      </c>
      <c r="P2" s="270" t="str">
        <f>IF(NOT(ISBLANK(CoverSheet!$C$8)),CoverSheet!$C$8,"")</f>
        <v>Aurora Energy Limited</v>
      </c>
      <c r="Q2" s="270"/>
      <c r="R2" s="270"/>
      <c r="S2" s="25"/>
      <c r="T2" s="184"/>
    </row>
    <row r="3" spans="1:20" s="8" customFormat="1" ht="18" customHeight="1" x14ac:dyDescent="0.3">
      <c r="A3" s="33"/>
      <c r="B3" s="148"/>
      <c r="C3" s="148"/>
      <c r="D3" s="148"/>
      <c r="E3" s="148"/>
      <c r="F3" s="148"/>
      <c r="G3" s="148"/>
      <c r="H3" s="148"/>
      <c r="I3" s="148"/>
      <c r="J3" s="148"/>
      <c r="K3" s="148"/>
      <c r="L3" s="148"/>
      <c r="M3" s="148"/>
      <c r="N3" s="28"/>
      <c r="O3" s="42" t="s">
        <v>81</v>
      </c>
      <c r="P3" s="271" t="str">
        <f>IF(ISNUMBER(CoverSheet!$C$12),TEXT(CoverSheet!$C$12,"_([$-1409]d mmmm yyyy;_(@")&amp;" –"&amp;TEXT(DATE(YEAR(CoverSheet!$C$12)+10,MONTH(CoverSheet!$C$12),DAY(CoverSheet!$C$12)-1),"_([$-1409]d mmmm yyyy;_(@"),"")</f>
        <v xml:space="preserve"> 1 April 2021 – 31 March 2031</v>
      </c>
      <c r="Q3" s="272"/>
      <c r="R3" s="273"/>
      <c r="S3" s="25"/>
      <c r="T3" s="184"/>
    </row>
    <row r="4" spans="1:20" s="8" customFormat="1" ht="21" x14ac:dyDescent="0.35">
      <c r="A4" s="149" t="s">
        <v>146</v>
      </c>
      <c r="B4" s="84"/>
      <c r="C4" s="148"/>
      <c r="D4" s="148"/>
      <c r="E4" s="148"/>
      <c r="F4" s="148"/>
      <c r="G4" s="148"/>
      <c r="H4" s="148"/>
      <c r="I4" s="148"/>
      <c r="J4" s="148"/>
      <c r="K4" s="148"/>
      <c r="L4" s="148"/>
      <c r="M4" s="148"/>
      <c r="N4" s="148"/>
      <c r="O4" s="56"/>
      <c r="P4" s="148"/>
      <c r="Q4" s="148"/>
      <c r="R4" s="148"/>
      <c r="S4" s="25"/>
      <c r="T4" s="184"/>
    </row>
    <row r="5" spans="1:20" s="113" customFormat="1" ht="61.5" customHeight="1" x14ac:dyDescent="0.2">
      <c r="A5" s="277" t="s">
        <v>228</v>
      </c>
      <c r="B5" s="278"/>
      <c r="C5" s="278"/>
      <c r="D5" s="278"/>
      <c r="E5" s="278"/>
      <c r="F5" s="278"/>
      <c r="G5" s="278"/>
      <c r="H5" s="278"/>
      <c r="I5" s="278"/>
      <c r="J5" s="278"/>
      <c r="K5" s="278"/>
      <c r="L5" s="278"/>
      <c r="M5" s="278"/>
      <c r="N5" s="278"/>
      <c r="O5" s="278"/>
      <c r="P5" s="278"/>
      <c r="Q5" s="278"/>
      <c r="R5" s="278"/>
      <c r="S5" s="107"/>
      <c r="T5" s="185"/>
    </row>
    <row r="6" spans="1:20" s="7" customFormat="1" ht="15" customHeight="1" x14ac:dyDescent="0.2">
      <c r="A6" s="38" t="s">
        <v>240</v>
      </c>
      <c r="B6" s="56"/>
      <c r="C6" s="56"/>
      <c r="D6" s="148"/>
      <c r="E6" s="148"/>
      <c r="F6" s="148"/>
      <c r="G6" s="148"/>
      <c r="H6" s="148"/>
      <c r="I6" s="148"/>
      <c r="J6" s="148"/>
      <c r="K6" s="148"/>
      <c r="L6" s="148"/>
      <c r="M6" s="148"/>
      <c r="N6" s="148"/>
      <c r="O6" s="148"/>
      <c r="P6" s="148"/>
      <c r="Q6" s="148"/>
      <c r="R6" s="148"/>
      <c r="S6" s="25"/>
      <c r="T6" s="186"/>
    </row>
    <row r="7" spans="1:20" s="7" customFormat="1" ht="32.25" customHeight="1" x14ac:dyDescent="0.2">
      <c r="A7" s="58">
        <v>7</v>
      </c>
      <c r="B7" s="44"/>
      <c r="C7" s="102"/>
      <c r="D7" s="102"/>
      <c r="E7" s="102"/>
      <c r="F7" s="102"/>
      <c r="G7" s="102"/>
      <c r="H7" s="122" t="s">
        <v>82</v>
      </c>
      <c r="I7" s="122" t="s">
        <v>161</v>
      </c>
      <c r="J7" s="122" t="s">
        <v>162</v>
      </c>
      <c r="K7" s="122" t="s">
        <v>163</v>
      </c>
      <c r="L7" s="122" t="s">
        <v>164</v>
      </c>
      <c r="M7" s="122" t="s">
        <v>165</v>
      </c>
      <c r="N7" s="152" t="s">
        <v>167</v>
      </c>
      <c r="O7" s="122" t="s">
        <v>168</v>
      </c>
      <c r="P7" s="122" t="s">
        <v>169</v>
      </c>
      <c r="Q7" s="122" t="s">
        <v>170</v>
      </c>
      <c r="R7" s="122" t="s">
        <v>171</v>
      </c>
      <c r="S7" s="20"/>
      <c r="T7" s="186"/>
    </row>
    <row r="8" spans="1:20" ht="18.75" customHeight="1" x14ac:dyDescent="0.2">
      <c r="A8" s="58">
        <v>8</v>
      </c>
      <c r="B8" s="44"/>
      <c r="C8" s="120"/>
      <c r="D8" s="102"/>
      <c r="E8" s="102"/>
      <c r="F8" s="102"/>
      <c r="G8" s="189" t="str">
        <f>IF(ISNUMBER(CoverSheet!$C$12),"for year ended","")</f>
        <v>for year ended</v>
      </c>
      <c r="H8" s="123">
        <f>IF(ISNUMBER(CoverSheet!$C$12),DATE(YEAR(CoverSheet!$C$12),MONTH(CoverSheet!$C$12),DAY(CoverSheet!$C$12))-1,"")</f>
        <v>44286</v>
      </c>
      <c r="I8" s="123">
        <f>IF(ISNUMBER(CoverSheet!$C$12),DATE(YEAR(CoverSheet!$C$12)+1,MONTH(CoverSheet!$C$12),DAY(CoverSheet!$C$12))-1,"")</f>
        <v>44651</v>
      </c>
      <c r="J8" s="123">
        <f>IF(ISNUMBER(CoverSheet!$C$12),DATE(YEAR(CoverSheet!$C$12)+2,MONTH(CoverSheet!$C$12),DAY(CoverSheet!$C$12))-1,"")</f>
        <v>45016</v>
      </c>
      <c r="K8" s="123">
        <f>IF(ISNUMBER(CoverSheet!$C$12),DATE(YEAR(CoverSheet!$C$12)+3,MONTH(CoverSheet!$C$12),DAY(CoverSheet!$C$12))-1,"")</f>
        <v>45382</v>
      </c>
      <c r="L8" s="123">
        <f>IF(ISNUMBER(CoverSheet!$C$12),DATE(YEAR(CoverSheet!$C$12)+4,MONTH(CoverSheet!$C$12),DAY(CoverSheet!$C$12))-1,"")</f>
        <v>45747</v>
      </c>
      <c r="M8" s="123">
        <f>IF(ISNUMBER(CoverSheet!$C$12),DATE(YEAR(CoverSheet!$C$12)+5,MONTH(CoverSheet!$C$12),DAY(CoverSheet!$C$12))-1,"")</f>
        <v>46112</v>
      </c>
      <c r="N8" s="123">
        <f>IF(ISNUMBER(CoverSheet!$C$12),DATE(YEAR(CoverSheet!$C$12)+6,MONTH(CoverSheet!$C$12),DAY(CoverSheet!$C$12))-1,"")</f>
        <v>46477</v>
      </c>
      <c r="O8" s="123">
        <f>IF(ISNUMBER(CoverSheet!$C$12),DATE(YEAR(CoverSheet!$C$12)+7,MONTH(CoverSheet!$C$12),DAY(CoverSheet!$C$12))-1,"")</f>
        <v>46843</v>
      </c>
      <c r="P8" s="123">
        <f>IF(ISNUMBER(CoverSheet!$C$12),DATE(YEAR(CoverSheet!$C$12)+8,MONTH(CoverSheet!$C$12),DAY(CoverSheet!$C$12))-1,"")</f>
        <v>47208</v>
      </c>
      <c r="Q8" s="123">
        <f>IF(ISNUMBER(CoverSheet!$C$12),DATE(YEAR(CoverSheet!$C$12)+9,MONTH(CoverSheet!$C$12),DAY(CoverSheet!$C$12))-1,"")</f>
        <v>47573</v>
      </c>
      <c r="R8" s="123">
        <f>IF(ISNUMBER(CoverSheet!$C$12),DATE(YEAR(CoverSheet!$C$12)+10,MONTH(CoverSheet!$C$12),DAY(CoverSheet!$C$12))-1,"")</f>
        <v>47938</v>
      </c>
      <c r="S8" s="20"/>
      <c r="T8" s="186"/>
    </row>
    <row r="9" spans="1:20" s="61" customFormat="1" ht="26.25" customHeight="1" x14ac:dyDescent="0.3">
      <c r="A9" s="58">
        <v>9</v>
      </c>
      <c r="B9" s="44"/>
      <c r="C9" s="90" t="s">
        <v>229</v>
      </c>
      <c r="D9" s="102"/>
      <c r="E9" s="102"/>
      <c r="F9" s="102"/>
      <c r="G9" s="189"/>
      <c r="H9" s="124" t="s">
        <v>212</v>
      </c>
      <c r="I9" s="123"/>
      <c r="J9" s="123"/>
      <c r="K9" s="123"/>
      <c r="L9" s="123"/>
      <c r="M9" s="123"/>
      <c r="N9" s="123"/>
      <c r="O9" s="123"/>
      <c r="P9" s="123"/>
      <c r="Q9" s="123"/>
      <c r="R9" s="125"/>
      <c r="S9" s="20"/>
      <c r="T9" s="186"/>
    </row>
    <row r="10" spans="1:20" ht="15" customHeight="1" x14ac:dyDescent="0.2">
      <c r="A10" s="58">
        <v>10</v>
      </c>
      <c r="B10" s="44"/>
      <c r="C10" s="151"/>
      <c r="D10" s="151"/>
      <c r="E10" s="98"/>
      <c r="F10" s="151" t="s">
        <v>174</v>
      </c>
      <c r="G10" s="98"/>
      <c r="H10" s="193">
        <v>10798.848537799369</v>
      </c>
      <c r="I10" s="193">
        <v>8632.477725094388</v>
      </c>
      <c r="J10" s="193">
        <v>8933.6599234473633</v>
      </c>
      <c r="K10" s="193">
        <v>12120.314053268708</v>
      </c>
      <c r="L10" s="193">
        <v>14003.240374104736</v>
      </c>
      <c r="M10" s="193">
        <v>16516.209038775469</v>
      </c>
      <c r="N10" s="193">
        <v>12762.868313257564</v>
      </c>
      <c r="O10" s="193">
        <v>13042.900789171465</v>
      </c>
      <c r="P10" s="193">
        <v>13329.043064559852</v>
      </c>
      <c r="Q10" s="193">
        <v>13622.313439335137</v>
      </c>
      <c r="R10" s="193">
        <v>13864.037852264322</v>
      </c>
      <c r="S10" s="20"/>
      <c r="T10" s="186"/>
    </row>
    <row r="11" spans="1:20" s="6" customFormat="1" ht="15" customHeight="1" x14ac:dyDescent="0.2">
      <c r="A11" s="58">
        <v>11</v>
      </c>
      <c r="B11" s="44"/>
      <c r="C11" s="151"/>
      <c r="D11" s="151"/>
      <c r="E11" s="105"/>
      <c r="F11" s="151" t="s">
        <v>75</v>
      </c>
      <c r="G11" s="105"/>
      <c r="H11" s="193">
        <v>6477.7690000000011</v>
      </c>
      <c r="I11" s="193">
        <v>4635.1810130611075</v>
      </c>
      <c r="J11" s="193">
        <v>9969.049535061451</v>
      </c>
      <c r="K11" s="193">
        <v>10069.288954538853</v>
      </c>
      <c r="L11" s="193">
        <v>5187.9621739016875</v>
      </c>
      <c r="M11" s="193">
        <v>3586.9748443903782</v>
      </c>
      <c r="N11" s="193">
        <v>4597.5524775214035</v>
      </c>
      <c r="O11" s="193">
        <v>7961.0922726376521</v>
      </c>
      <c r="P11" s="193">
        <v>9599.473021156251</v>
      </c>
      <c r="Q11" s="193">
        <v>8242.4607658058922</v>
      </c>
      <c r="R11" s="193">
        <v>8310.9280180320475</v>
      </c>
      <c r="S11" s="20"/>
      <c r="T11" s="186"/>
    </row>
    <row r="12" spans="1:20" ht="15" customHeight="1" x14ac:dyDescent="0.2">
      <c r="A12" s="58">
        <v>12</v>
      </c>
      <c r="B12" s="44"/>
      <c r="C12" s="151"/>
      <c r="D12" s="151"/>
      <c r="E12" s="105"/>
      <c r="F12" s="151" t="s">
        <v>76</v>
      </c>
      <c r="G12" s="105"/>
      <c r="H12" s="193">
        <v>41440.680825500007</v>
      </c>
      <c r="I12" s="193">
        <v>59105.936751792789</v>
      </c>
      <c r="J12" s="193">
        <v>65263.936145670792</v>
      </c>
      <c r="K12" s="193">
        <v>64922.763933400915</v>
      </c>
      <c r="L12" s="193">
        <v>60325.766153496443</v>
      </c>
      <c r="M12" s="193">
        <v>53402.924804629271</v>
      </c>
      <c r="N12" s="193">
        <v>47004.740727423748</v>
      </c>
      <c r="O12" s="193">
        <v>48374.866471226116</v>
      </c>
      <c r="P12" s="193">
        <v>45254.192867060432</v>
      </c>
      <c r="Q12" s="193">
        <v>45007.887681967746</v>
      </c>
      <c r="R12" s="193">
        <v>45808.030214268627</v>
      </c>
      <c r="S12" s="20"/>
      <c r="T12" s="186"/>
    </row>
    <row r="13" spans="1:20" ht="15" customHeight="1" x14ac:dyDescent="0.2">
      <c r="A13" s="58">
        <v>13</v>
      </c>
      <c r="B13" s="44"/>
      <c r="C13" s="151"/>
      <c r="D13" s="151"/>
      <c r="E13" s="105"/>
      <c r="F13" s="151" t="s">
        <v>77</v>
      </c>
      <c r="G13" s="105"/>
      <c r="H13" s="193">
        <v>2127.9394367076502</v>
      </c>
      <c r="I13" s="193">
        <v>1967.1485420646359</v>
      </c>
      <c r="J13" s="193">
        <v>2047.8701580998152</v>
      </c>
      <c r="K13" s="193">
        <v>2097.7685152091958</v>
      </c>
      <c r="L13" s="193">
        <v>2141.5568694072235</v>
      </c>
      <c r="M13" s="193">
        <v>2186.3635574238106</v>
      </c>
      <c r="N13" s="193">
        <v>2242.3760654051584</v>
      </c>
      <c r="O13" s="193">
        <v>2300.4212004352457</v>
      </c>
      <c r="P13" s="193">
        <v>2359.4846711676159</v>
      </c>
      <c r="Q13" s="193">
        <v>2420.5848133045506</v>
      </c>
      <c r="R13" s="193">
        <v>2472.3841560273077</v>
      </c>
      <c r="S13" s="20"/>
      <c r="T13" s="186"/>
    </row>
    <row r="14" spans="1:20" s="12" customFormat="1" ht="15" customHeight="1" x14ac:dyDescent="0.2">
      <c r="A14" s="58">
        <v>14</v>
      </c>
      <c r="B14" s="44"/>
      <c r="C14" s="151"/>
      <c r="D14" s="151"/>
      <c r="E14" s="105"/>
      <c r="F14" s="151" t="s">
        <v>97</v>
      </c>
      <c r="G14" s="105"/>
      <c r="H14" s="98"/>
      <c r="I14" s="98"/>
      <c r="J14" s="102"/>
      <c r="K14" s="102"/>
      <c r="L14" s="102"/>
      <c r="M14" s="98"/>
      <c r="N14" s="102"/>
      <c r="O14" s="98"/>
      <c r="P14" s="98"/>
      <c r="Q14" s="102"/>
      <c r="R14" s="102"/>
      <c r="S14" s="20"/>
      <c r="T14" s="186"/>
    </row>
    <row r="15" spans="1:20" ht="15" customHeight="1" x14ac:dyDescent="0.2">
      <c r="A15" s="58">
        <v>15</v>
      </c>
      <c r="B15" s="44"/>
      <c r="C15" s="151"/>
      <c r="D15" s="151"/>
      <c r="E15" s="105"/>
      <c r="F15" s="166" t="s">
        <v>56</v>
      </c>
      <c r="G15" s="105"/>
      <c r="H15" s="194">
        <v>1586.807</v>
      </c>
      <c r="I15" s="194">
        <v>593.50780741844596</v>
      </c>
      <c r="J15" s="194">
        <v>488.47863122964503</v>
      </c>
      <c r="K15" s="194">
        <v>244.83746978976447</v>
      </c>
      <c r="L15" s="194">
        <v>1007.4495504649389</v>
      </c>
      <c r="M15" s="194">
        <v>773.83251077446539</v>
      </c>
      <c r="N15" s="194">
        <v>715.22788752132783</v>
      </c>
      <c r="O15" s="194">
        <v>367.29484193709851</v>
      </c>
      <c r="P15" s="194">
        <v>377.48526107018762</v>
      </c>
      <c r="Q15" s="194">
        <v>386.65663828996782</v>
      </c>
      <c r="R15" s="168">
        <v>395.88638246299303</v>
      </c>
      <c r="S15" s="20"/>
      <c r="T15" s="186"/>
    </row>
    <row r="16" spans="1:20" s="10" customFormat="1" ht="15" customHeight="1" x14ac:dyDescent="0.2">
      <c r="A16" s="58">
        <v>16</v>
      </c>
      <c r="B16" s="44"/>
      <c r="C16" s="151"/>
      <c r="D16" s="151"/>
      <c r="E16" s="105"/>
      <c r="F16" s="166" t="s">
        <v>78</v>
      </c>
      <c r="G16" s="105"/>
      <c r="H16" s="194">
        <v>0</v>
      </c>
      <c r="I16" s="194">
        <v>0</v>
      </c>
      <c r="J16" s="194">
        <v>0</v>
      </c>
      <c r="K16" s="194">
        <v>0</v>
      </c>
      <c r="L16" s="194">
        <v>0</v>
      </c>
      <c r="M16" s="194">
        <v>0</v>
      </c>
      <c r="N16" s="194">
        <v>0</v>
      </c>
      <c r="O16" s="194">
        <v>0</v>
      </c>
      <c r="P16" s="194">
        <v>0</v>
      </c>
      <c r="Q16" s="194">
        <v>0</v>
      </c>
      <c r="R16" s="168">
        <v>0</v>
      </c>
      <c r="S16" s="20"/>
      <c r="T16" s="186"/>
    </row>
    <row r="17" spans="1:20" ht="15" customHeight="1" thickBot="1" x14ac:dyDescent="0.25">
      <c r="A17" s="58">
        <v>17</v>
      </c>
      <c r="B17" s="44"/>
      <c r="C17" s="151"/>
      <c r="D17" s="151"/>
      <c r="E17" s="105"/>
      <c r="F17" s="166" t="s">
        <v>143</v>
      </c>
      <c r="G17" s="105"/>
      <c r="H17" s="194">
        <v>0</v>
      </c>
      <c r="I17" s="194">
        <v>0</v>
      </c>
      <c r="J17" s="194">
        <v>0</v>
      </c>
      <c r="K17" s="194">
        <v>0</v>
      </c>
      <c r="L17" s="194">
        <v>0</v>
      </c>
      <c r="M17" s="194">
        <v>0</v>
      </c>
      <c r="N17" s="194">
        <v>0</v>
      </c>
      <c r="O17" s="194">
        <v>0</v>
      </c>
      <c r="P17" s="194">
        <v>0</v>
      </c>
      <c r="Q17" s="194">
        <v>0</v>
      </c>
      <c r="R17" s="168">
        <v>0</v>
      </c>
      <c r="S17" s="20"/>
      <c r="T17" s="186"/>
    </row>
    <row r="18" spans="1:20" s="10" customFormat="1" ht="15" customHeight="1" thickBot="1" x14ac:dyDescent="0.25">
      <c r="A18" s="58">
        <v>18</v>
      </c>
      <c r="B18" s="44"/>
      <c r="C18" s="151"/>
      <c r="D18" s="151"/>
      <c r="E18" s="60"/>
      <c r="F18" s="60" t="s">
        <v>96</v>
      </c>
      <c r="G18" s="105"/>
      <c r="H18" s="169">
        <f t="shared" ref="H18:R18" si="0">SUM(H15:H17)</f>
        <v>1586.807</v>
      </c>
      <c r="I18" s="169">
        <f t="shared" si="0"/>
        <v>593.50780741844596</v>
      </c>
      <c r="J18" s="169">
        <f t="shared" si="0"/>
        <v>488.47863122964503</v>
      </c>
      <c r="K18" s="169">
        <f t="shared" si="0"/>
        <v>244.83746978976447</v>
      </c>
      <c r="L18" s="169">
        <f t="shared" si="0"/>
        <v>1007.4495504649389</v>
      </c>
      <c r="M18" s="169">
        <f t="shared" si="0"/>
        <v>773.83251077446539</v>
      </c>
      <c r="N18" s="170">
        <f t="shared" si="0"/>
        <v>715.22788752132783</v>
      </c>
      <c r="O18" s="169">
        <f t="shared" si="0"/>
        <v>367.29484193709851</v>
      </c>
      <c r="P18" s="169">
        <f t="shared" si="0"/>
        <v>377.48526107018762</v>
      </c>
      <c r="Q18" s="169">
        <f t="shared" si="0"/>
        <v>386.65663828996782</v>
      </c>
      <c r="R18" s="169">
        <f t="shared" si="0"/>
        <v>395.88638246299303</v>
      </c>
      <c r="S18" s="20"/>
      <c r="T18" s="186"/>
    </row>
    <row r="19" spans="1:20" s="82" customFormat="1" ht="15" customHeight="1" thickBot="1" x14ac:dyDescent="0.25">
      <c r="A19" s="58">
        <v>19</v>
      </c>
      <c r="B19" s="44"/>
      <c r="C19" s="151"/>
      <c r="D19" s="151"/>
      <c r="E19" s="60" t="s">
        <v>237</v>
      </c>
      <c r="F19" s="60"/>
      <c r="G19" s="105"/>
      <c r="H19" s="169">
        <f t="shared" ref="H19:R19" si="1">H10+H11+H12+H13+H18</f>
        <v>62432.044800007032</v>
      </c>
      <c r="I19" s="169">
        <f t="shared" si="1"/>
        <v>74934.251839431367</v>
      </c>
      <c r="J19" s="169">
        <f t="shared" si="1"/>
        <v>86702.994393509071</v>
      </c>
      <c r="K19" s="169">
        <f t="shared" si="1"/>
        <v>89454.972926207454</v>
      </c>
      <c r="L19" s="169">
        <f t="shared" si="1"/>
        <v>82665.975121375028</v>
      </c>
      <c r="M19" s="169">
        <f t="shared" si="1"/>
        <v>76466.304755993391</v>
      </c>
      <c r="N19" s="170">
        <f t="shared" si="1"/>
        <v>67322.765471129198</v>
      </c>
      <c r="O19" s="169">
        <f t="shared" si="1"/>
        <v>72046.575575407565</v>
      </c>
      <c r="P19" s="169">
        <f t="shared" si="1"/>
        <v>70919.678885014349</v>
      </c>
      <c r="Q19" s="169">
        <f t="shared" si="1"/>
        <v>69679.903338703298</v>
      </c>
      <c r="R19" s="169">
        <f t="shared" si="1"/>
        <v>70851.266623055315</v>
      </c>
      <c r="S19" s="20"/>
      <c r="T19" s="186"/>
    </row>
    <row r="20" spans="1:20" s="11" customFormat="1" ht="15" customHeight="1" thickBot="1" x14ac:dyDescent="0.25">
      <c r="A20" s="58">
        <v>20</v>
      </c>
      <c r="B20" s="44"/>
      <c r="C20" s="151"/>
      <c r="D20" s="151"/>
      <c r="E20" s="97"/>
      <c r="F20" s="196" t="s">
        <v>283</v>
      </c>
      <c r="G20" s="105"/>
      <c r="H20" s="168">
        <v>3490</v>
      </c>
      <c r="I20" s="168">
        <v>6086.448607459768</v>
      </c>
      <c r="J20" s="168">
        <v>3124.9291345564852</v>
      </c>
      <c r="K20" s="168">
        <v>3008.8728817673959</v>
      </c>
      <c r="L20" s="168">
        <v>2505.7874871834792</v>
      </c>
      <c r="M20" s="168">
        <v>2359.505903295556</v>
      </c>
      <c r="N20" s="168">
        <v>2417.5550743826452</v>
      </c>
      <c r="O20" s="168">
        <v>2740.2294028700626</v>
      </c>
      <c r="P20" s="168">
        <v>2644.3181485736677</v>
      </c>
      <c r="Q20" s="168">
        <v>2598.8314332160103</v>
      </c>
      <c r="R20" s="168">
        <v>2652.0015775356405</v>
      </c>
      <c r="S20" s="20"/>
      <c r="T20" s="186"/>
    </row>
    <row r="21" spans="1:20" ht="15" customHeight="1" thickBot="1" x14ac:dyDescent="0.25">
      <c r="A21" s="58">
        <v>21</v>
      </c>
      <c r="B21" s="44"/>
      <c r="C21" s="151"/>
      <c r="D21" s="151"/>
      <c r="E21" s="97" t="s">
        <v>220</v>
      </c>
      <c r="F21" s="151"/>
      <c r="G21" s="102"/>
      <c r="H21" s="169">
        <f>H19+H20</f>
        <v>65922.044800007032</v>
      </c>
      <c r="I21" s="169">
        <f t="shared" ref="I21:R21" si="2">I19+I20</f>
        <v>81020.700446891133</v>
      </c>
      <c r="J21" s="169">
        <f t="shared" si="2"/>
        <v>89827.923528065556</v>
      </c>
      <c r="K21" s="169">
        <f t="shared" si="2"/>
        <v>92463.845807974853</v>
      </c>
      <c r="L21" s="169">
        <f t="shared" si="2"/>
        <v>85171.762608558507</v>
      </c>
      <c r="M21" s="169">
        <f t="shared" si="2"/>
        <v>78825.810659288953</v>
      </c>
      <c r="N21" s="170">
        <f>N19+N20</f>
        <v>69740.320545511844</v>
      </c>
      <c r="O21" s="169">
        <f>O19+O20</f>
        <v>74786.804978277622</v>
      </c>
      <c r="P21" s="169">
        <f t="shared" si="2"/>
        <v>73563.997033588021</v>
      </c>
      <c r="Q21" s="169">
        <f t="shared" si="2"/>
        <v>72278.734771919306</v>
      </c>
      <c r="R21" s="169">
        <f t="shared" si="2"/>
        <v>73503.268200590959</v>
      </c>
      <c r="S21" s="20"/>
      <c r="T21" s="186"/>
    </row>
    <row r="22" spans="1:20" s="82" customFormat="1" ht="15" customHeight="1" x14ac:dyDescent="0.2">
      <c r="A22" s="58">
        <v>22</v>
      </c>
      <c r="B22" s="44"/>
      <c r="C22" s="151"/>
      <c r="D22" s="151"/>
      <c r="E22" s="97"/>
      <c r="F22" s="151"/>
      <c r="G22" s="102"/>
      <c r="H22" s="126"/>
      <c r="I22" s="126"/>
      <c r="J22" s="126"/>
      <c r="K22" s="126"/>
      <c r="L22" s="126"/>
      <c r="M22" s="126"/>
      <c r="N22" s="126"/>
      <c r="O22" s="126"/>
      <c r="P22" s="126"/>
      <c r="Q22" s="126"/>
      <c r="R22" s="126"/>
      <c r="S22" s="20"/>
      <c r="T22" s="186"/>
    </row>
    <row r="23" spans="1:20" s="11" customFormat="1" ht="15" customHeight="1" x14ac:dyDescent="0.2">
      <c r="A23" s="58">
        <v>23</v>
      </c>
      <c r="B23" s="44"/>
      <c r="C23" s="151"/>
      <c r="D23" s="101" t="s">
        <v>5</v>
      </c>
      <c r="E23" s="97"/>
      <c r="F23" s="102" t="s">
        <v>221</v>
      </c>
      <c r="G23" s="102"/>
      <c r="H23" s="168">
        <v>400</v>
      </c>
      <c r="I23" s="168">
        <v>631.23224129670882</v>
      </c>
      <c r="J23" s="168">
        <v>938.65251850515608</v>
      </c>
      <c r="K23" s="168">
        <v>740.08439663844001</v>
      </c>
      <c r="L23" s="168">
        <v>658.8503631834767</v>
      </c>
      <c r="M23" s="168">
        <v>544.56607458790995</v>
      </c>
      <c r="N23" s="168">
        <v>627.6525216762858</v>
      </c>
      <c r="O23" s="168">
        <v>566.30083627267618</v>
      </c>
      <c r="P23" s="168">
        <v>616.5656894086801</v>
      </c>
      <c r="Q23" s="168">
        <v>464.629134067189</v>
      </c>
      <c r="R23" s="168">
        <v>472.9924584803984</v>
      </c>
      <c r="S23" s="20"/>
      <c r="T23" s="186"/>
    </row>
    <row r="24" spans="1:20" s="12" customFormat="1" ht="15" customHeight="1" x14ac:dyDescent="0.2">
      <c r="A24" s="58">
        <v>24</v>
      </c>
      <c r="B24" s="44"/>
      <c r="C24" s="151"/>
      <c r="D24" s="101" t="s">
        <v>4</v>
      </c>
      <c r="E24" s="97"/>
      <c r="F24" s="127" t="s">
        <v>238</v>
      </c>
      <c r="G24" s="102"/>
      <c r="H24" s="168">
        <v>6521.3508000000002</v>
      </c>
      <c r="I24" s="168">
        <v>6359.1910865640248</v>
      </c>
      <c r="J24" s="168">
        <v>6588.8399304808991</v>
      </c>
      <c r="K24" s="168">
        <v>8530.7742366163948</v>
      </c>
      <c r="L24" s="168">
        <v>9686.8837121358447</v>
      </c>
      <c r="M24" s="168">
        <v>11220.883343063982</v>
      </c>
      <c r="N24" s="168">
        <v>9003.0282381475627</v>
      </c>
      <c r="O24" s="168">
        <v>9205.2893709213786</v>
      </c>
      <c r="P24" s="168">
        <v>9412.5853897376583</v>
      </c>
      <c r="Q24" s="168">
        <v>9625.0514418031944</v>
      </c>
      <c r="R24" s="168">
        <v>9803.7933480921984</v>
      </c>
      <c r="S24" s="20"/>
      <c r="T24" s="186"/>
    </row>
    <row r="25" spans="1:20" s="12" customFormat="1" ht="15" customHeight="1" x14ac:dyDescent="0.2">
      <c r="A25" s="58">
        <v>25</v>
      </c>
      <c r="B25" s="44"/>
      <c r="C25" s="151"/>
      <c r="D25" s="101" t="s">
        <v>5</v>
      </c>
      <c r="E25" s="97"/>
      <c r="F25" s="127" t="s">
        <v>222</v>
      </c>
      <c r="G25" s="102"/>
      <c r="H25" s="168"/>
      <c r="I25" s="168"/>
      <c r="J25" s="168"/>
      <c r="K25" s="168"/>
      <c r="L25" s="168"/>
      <c r="M25" s="168"/>
      <c r="N25" s="168"/>
      <c r="O25" s="168"/>
      <c r="P25" s="168"/>
      <c r="Q25" s="168"/>
      <c r="R25" s="168"/>
      <c r="S25" s="20"/>
      <c r="T25" s="186"/>
    </row>
    <row r="26" spans="1:20" s="12" customFormat="1" ht="15" customHeight="1" thickBot="1" x14ac:dyDescent="0.25">
      <c r="A26" s="58">
        <v>26</v>
      </c>
      <c r="B26" s="44"/>
      <c r="C26" s="151"/>
      <c r="D26" s="151"/>
      <c r="E26" s="97"/>
      <c r="F26" s="102"/>
      <c r="G26" s="102"/>
      <c r="H26" s="102"/>
      <c r="I26" s="102"/>
      <c r="J26" s="102"/>
      <c r="K26" s="102"/>
      <c r="L26" s="102"/>
      <c r="M26" s="102"/>
      <c r="N26" s="102"/>
      <c r="O26" s="102"/>
      <c r="P26" s="102"/>
      <c r="Q26" s="102"/>
      <c r="R26" s="102"/>
      <c r="S26" s="20"/>
      <c r="T26" s="186"/>
    </row>
    <row r="27" spans="1:20" s="12" customFormat="1" ht="15" customHeight="1" thickBot="1" x14ac:dyDescent="0.25">
      <c r="A27" s="58">
        <v>27</v>
      </c>
      <c r="B27" s="44"/>
      <c r="C27" s="151"/>
      <c r="D27" s="151"/>
      <c r="E27" s="97" t="s">
        <v>230</v>
      </c>
      <c r="F27" s="102"/>
      <c r="G27" s="102"/>
      <c r="H27" s="169">
        <f>H21+H23-H24+H25</f>
        <v>59800.694000007032</v>
      </c>
      <c r="I27" s="169">
        <f t="shared" ref="I27:R27" si="3">I21+I23-I24+I25</f>
        <v>75292.741601623813</v>
      </c>
      <c r="J27" s="169">
        <f t="shared" si="3"/>
        <v>84177.736116089814</v>
      </c>
      <c r="K27" s="169">
        <f t="shared" si="3"/>
        <v>84673.155967996892</v>
      </c>
      <c r="L27" s="169">
        <f t="shared" si="3"/>
        <v>76143.729259606131</v>
      </c>
      <c r="M27" s="169">
        <f t="shared" si="3"/>
        <v>68149.493390812888</v>
      </c>
      <c r="N27" s="170">
        <f t="shared" si="3"/>
        <v>61364.944829040563</v>
      </c>
      <c r="O27" s="169">
        <f t="shared" si="3"/>
        <v>66147.816443628923</v>
      </c>
      <c r="P27" s="169">
        <f t="shared" si="3"/>
        <v>64767.977333259048</v>
      </c>
      <c r="Q27" s="169">
        <f t="shared" si="3"/>
        <v>63118.312464183298</v>
      </c>
      <c r="R27" s="169">
        <f t="shared" si="3"/>
        <v>64172.467310979155</v>
      </c>
      <c r="S27" s="20"/>
      <c r="T27" s="186"/>
    </row>
    <row r="28" spans="1:20" s="11" customFormat="1" ht="15" customHeight="1" x14ac:dyDescent="0.2">
      <c r="A28" s="58">
        <v>28</v>
      </c>
      <c r="B28" s="44"/>
      <c r="C28" s="151"/>
      <c r="D28" s="151"/>
      <c r="E28" s="97"/>
      <c r="F28" s="102"/>
      <c r="G28" s="102"/>
      <c r="H28" s="102"/>
      <c r="I28" s="102"/>
      <c r="J28" s="102"/>
      <c r="K28" s="102"/>
      <c r="L28" s="102"/>
      <c r="M28" s="102"/>
      <c r="N28" s="102"/>
      <c r="O28" s="102"/>
      <c r="P28" s="102"/>
      <c r="Q28" s="102"/>
      <c r="R28" s="102"/>
      <c r="S28" s="20"/>
      <c r="T28" s="186"/>
    </row>
    <row r="29" spans="1:20" s="11" customFormat="1" ht="15" customHeight="1" x14ac:dyDescent="0.2">
      <c r="A29" s="58">
        <v>29</v>
      </c>
      <c r="B29" s="44"/>
      <c r="C29" s="151"/>
      <c r="D29" s="151"/>
      <c r="E29" s="97"/>
      <c r="F29" s="196" t="s">
        <v>281</v>
      </c>
      <c r="G29" s="102"/>
      <c r="H29" s="168">
        <v>63718.035000000003</v>
      </c>
      <c r="I29" s="168">
        <v>82717.747633987703</v>
      </c>
      <c r="J29" s="168">
        <v>73726.724071102435</v>
      </c>
      <c r="K29" s="168">
        <v>91255.994692845605</v>
      </c>
      <c r="L29" s="168">
        <v>79840.4838165822</v>
      </c>
      <c r="M29" s="168">
        <v>72481.245865180696</v>
      </c>
      <c r="N29" s="168">
        <v>61091.440970974974</v>
      </c>
      <c r="O29" s="168">
        <v>66233.316578606959</v>
      </c>
      <c r="P29" s="168">
        <v>63799.602450587816</v>
      </c>
      <c r="Q29" s="168">
        <v>66644.511549720031</v>
      </c>
      <c r="R29" s="168">
        <v>67844.112757615003</v>
      </c>
      <c r="S29" s="20"/>
      <c r="T29" s="186"/>
    </row>
    <row r="30" spans="1:20" s="12" customFormat="1" ht="32.25" customHeight="1" x14ac:dyDescent="0.2">
      <c r="A30" s="58">
        <v>30</v>
      </c>
      <c r="B30" s="44"/>
      <c r="C30" s="151"/>
      <c r="D30" s="151"/>
      <c r="E30" s="105"/>
      <c r="F30" s="105"/>
      <c r="G30" s="105"/>
      <c r="H30" s="152" t="s">
        <v>82</v>
      </c>
      <c r="I30" s="152" t="s">
        <v>161</v>
      </c>
      <c r="J30" s="152" t="s">
        <v>162</v>
      </c>
      <c r="K30" s="152" t="s">
        <v>163</v>
      </c>
      <c r="L30" s="152" t="s">
        <v>164</v>
      </c>
      <c r="M30" s="152" t="s">
        <v>165</v>
      </c>
      <c r="N30" s="143" t="s">
        <v>167</v>
      </c>
      <c r="O30" s="152" t="s">
        <v>168</v>
      </c>
      <c r="P30" s="152" t="s">
        <v>169</v>
      </c>
      <c r="Q30" s="152" t="s">
        <v>170</v>
      </c>
      <c r="R30" s="152" t="s">
        <v>171</v>
      </c>
      <c r="S30" s="20"/>
      <c r="T30" s="186"/>
    </row>
    <row r="31" spans="1:20" s="19" customFormat="1" ht="15.75" customHeight="1" x14ac:dyDescent="0.2">
      <c r="A31" s="58">
        <v>31</v>
      </c>
      <c r="B31" s="44"/>
      <c r="C31" s="151"/>
      <c r="D31" s="151"/>
      <c r="E31" s="105"/>
      <c r="F31" s="105"/>
      <c r="G31" s="189" t="str">
        <f>IF(ISNUMBER(CoverSheet!$C$12),"for year ended","")</f>
        <v>for year ended</v>
      </c>
      <c r="H31" s="123">
        <f>IF(ISNUMBER(CoverSheet!$C$12),DATE(YEAR(CoverSheet!$C$12),MONTH(CoverSheet!$C$12),DAY(CoverSheet!$C$12))-1,"")</f>
        <v>44286</v>
      </c>
      <c r="I31" s="123">
        <f>IF(ISNUMBER(CoverSheet!$C$12),DATE(YEAR(CoverSheet!$C$12)+1,MONTH(CoverSheet!$C$12),DAY(CoverSheet!$C$12))-1,"")</f>
        <v>44651</v>
      </c>
      <c r="J31" s="123">
        <f>IF(ISNUMBER(CoverSheet!$C$12),DATE(YEAR(CoverSheet!$C$12)+2,MONTH(CoverSheet!$C$12),DAY(CoverSheet!$C$12))-1,"")</f>
        <v>45016</v>
      </c>
      <c r="K31" s="123">
        <f>IF(ISNUMBER(CoverSheet!$C$12),DATE(YEAR(CoverSheet!$C$12)+3,MONTH(CoverSheet!$C$12),DAY(CoverSheet!$C$12))-1,"")</f>
        <v>45382</v>
      </c>
      <c r="L31" s="123">
        <f>IF(ISNUMBER(CoverSheet!$C$12),DATE(YEAR(CoverSheet!$C$12)+4,MONTH(CoverSheet!$C$12),DAY(CoverSheet!$C$12))-1,"")</f>
        <v>45747</v>
      </c>
      <c r="M31" s="123">
        <f>IF(ISNUMBER(CoverSheet!$C$12),DATE(YEAR(CoverSheet!$C$12)+5,MONTH(CoverSheet!$C$12),DAY(CoverSheet!$C$12))-1,"")</f>
        <v>46112</v>
      </c>
      <c r="N31" s="123">
        <f>IF(ISNUMBER(CoverSheet!$C$12),DATE(YEAR(CoverSheet!$C$12)+6,MONTH(CoverSheet!$C$12),DAY(CoverSheet!$C$12))-1,"")</f>
        <v>46477</v>
      </c>
      <c r="O31" s="123">
        <f>IF(ISNUMBER(CoverSheet!$C$12),DATE(YEAR(CoverSheet!$C$12)+7,MONTH(CoverSheet!$C$12),DAY(CoverSheet!$C$12))-1,"")</f>
        <v>46843</v>
      </c>
      <c r="P31" s="123">
        <f>IF(ISNUMBER(CoverSheet!$C$12),DATE(YEAR(CoverSheet!$C$12)+8,MONTH(CoverSheet!$C$12),DAY(CoverSheet!$C$12))-1,"")</f>
        <v>47208</v>
      </c>
      <c r="Q31" s="123">
        <f>IF(ISNUMBER(CoverSheet!$C$12),DATE(YEAR(CoverSheet!$C$12)+9,MONTH(CoverSheet!$C$12),DAY(CoverSheet!$C$12))-1,"")</f>
        <v>47573</v>
      </c>
      <c r="R31" s="123">
        <f>IF(ISNUMBER(CoverSheet!$C$12),DATE(YEAR(CoverSheet!$C$12)+10,MONTH(CoverSheet!$C$12),DAY(CoverSheet!$C$12))-1,"")</f>
        <v>47938</v>
      </c>
      <c r="S31" s="20"/>
      <c r="T31" s="186"/>
    </row>
    <row r="32" spans="1:20" s="17" customFormat="1" ht="25.5" customHeight="1" x14ac:dyDescent="0.2">
      <c r="A32" s="58">
        <v>32</v>
      </c>
      <c r="B32" s="44"/>
      <c r="C32" s="151"/>
      <c r="D32" s="153"/>
      <c r="E32" s="102"/>
      <c r="F32" s="102"/>
      <c r="G32" s="189"/>
      <c r="H32" s="124" t="s">
        <v>180</v>
      </c>
      <c r="I32" s="102"/>
      <c r="J32" s="102"/>
      <c r="K32" s="102"/>
      <c r="L32" s="102"/>
      <c r="M32" s="102"/>
      <c r="N32" s="102"/>
      <c r="O32" s="102"/>
      <c r="P32" s="102"/>
      <c r="Q32" s="102"/>
      <c r="R32" s="128"/>
      <c r="S32" s="20"/>
      <c r="T32" s="186"/>
    </row>
    <row r="33" spans="1:20" s="17" customFormat="1" ht="15" customHeight="1" x14ac:dyDescent="0.2">
      <c r="A33" s="58">
        <v>33</v>
      </c>
      <c r="B33" s="44"/>
      <c r="C33" s="151"/>
      <c r="D33" s="151"/>
      <c r="E33" s="98"/>
      <c r="F33" s="151" t="s">
        <v>177</v>
      </c>
      <c r="G33" s="98"/>
      <c r="H33" s="171">
        <f t="shared" ref="H33:M33" si="4">H76</f>
        <v>10798.848537799369</v>
      </c>
      <c r="I33" s="171">
        <f t="shared" si="4"/>
        <v>8524.1013162376912</v>
      </c>
      <c r="J33" s="171">
        <f t="shared" si="4"/>
        <v>8679.7288546006821</v>
      </c>
      <c r="K33" s="171">
        <f t="shared" si="4"/>
        <v>11572.971806134243</v>
      </c>
      <c r="L33" s="171">
        <f t="shared" si="4"/>
        <v>13171.465294378462</v>
      </c>
      <c r="M33" s="171">
        <f t="shared" si="4"/>
        <v>15302.789945370752</v>
      </c>
      <c r="N33" s="168">
        <v>11572.97850458725</v>
      </c>
      <c r="O33" s="168">
        <v>11572.97850458725</v>
      </c>
      <c r="P33" s="168">
        <v>11572.97850458725</v>
      </c>
      <c r="Q33" s="168">
        <v>11572.97850458725</v>
      </c>
      <c r="R33" s="168">
        <v>11572.97850458725</v>
      </c>
      <c r="S33" s="20"/>
      <c r="T33" s="186" t="s">
        <v>241</v>
      </c>
    </row>
    <row r="34" spans="1:20" s="6" customFormat="1" ht="15" customHeight="1" x14ac:dyDescent="0.2">
      <c r="A34" s="58">
        <v>34</v>
      </c>
      <c r="B34" s="44"/>
      <c r="C34" s="151"/>
      <c r="D34" s="151"/>
      <c r="E34" s="105"/>
      <c r="F34" s="151" t="s">
        <v>86</v>
      </c>
      <c r="G34" s="105"/>
      <c r="H34" s="171">
        <f t="shared" ref="H34:M34" si="5">H87</f>
        <v>6477.7689999999993</v>
      </c>
      <c r="I34" s="171">
        <f t="shared" si="5"/>
        <v>4532.1530000000002</v>
      </c>
      <c r="J34" s="171">
        <f t="shared" si="5"/>
        <v>9502.0682378659385</v>
      </c>
      <c r="K34" s="171">
        <f t="shared" si="5"/>
        <v>9415.4177484497304</v>
      </c>
      <c r="L34" s="171">
        <f t="shared" si="5"/>
        <v>4765.8054696699965</v>
      </c>
      <c r="M34" s="171">
        <f t="shared" si="5"/>
        <v>3223.1913406606382</v>
      </c>
      <c r="N34" s="168">
        <v>4070.0581424949341</v>
      </c>
      <c r="O34" s="168">
        <v>6973.3613693524894</v>
      </c>
      <c r="P34" s="168">
        <v>8225.3403525206959</v>
      </c>
      <c r="Q34" s="168">
        <v>6816.120032176932</v>
      </c>
      <c r="R34" s="168">
        <v>6816.120032176932</v>
      </c>
      <c r="S34" s="20"/>
      <c r="T34" s="186" t="s">
        <v>242</v>
      </c>
    </row>
    <row r="35" spans="1:20" s="17" customFormat="1" ht="15" customHeight="1" x14ac:dyDescent="0.2">
      <c r="A35" s="58">
        <v>35</v>
      </c>
      <c r="B35" s="44"/>
      <c r="C35" s="151"/>
      <c r="D35" s="151"/>
      <c r="E35" s="105"/>
      <c r="F35" s="151" t="s">
        <v>87</v>
      </c>
      <c r="G35" s="105"/>
      <c r="H35" s="171">
        <f t="shared" ref="H35:M35" si="6">H101</f>
        <v>41440.6808255</v>
      </c>
      <c r="I35" s="171">
        <f t="shared" si="6"/>
        <v>57863.878031541157</v>
      </c>
      <c r="J35" s="171">
        <f t="shared" si="6"/>
        <v>62547.695028995622</v>
      </c>
      <c r="K35" s="171">
        <f t="shared" si="6"/>
        <v>61076.926512068087</v>
      </c>
      <c r="L35" s="171">
        <f t="shared" si="6"/>
        <v>55850.885572597923</v>
      </c>
      <c r="M35" s="171">
        <f t="shared" si="6"/>
        <v>48301.560113160325</v>
      </c>
      <c r="N35" s="168">
        <v>41684.711188102687</v>
      </c>
      <c r="O35" s="168">
        <v>41999.523800238276</v>
      </c>
      <c r="P35" s="168">
        <v>38513.833467064462</v>
      </c>
      <c r="Q35" s="168">
        <v>37340.860302218789</v>
      </c>
      <c r="R35" s="168">
        <v>37340.860302218789</v>
      </c>
      <c r="S35" s="20"/>
      <c r="T35" s="186" t="s">
        <v>243</v>
      </c>
    </row>
    <row r="36" spans="1:20" s="17" customFormat="1" ht="15" customHeight="1" x14ac:dyDescent="0.2">
      <c r="A36" s="58">
        <v>36</v>
      </c>
      <c r="B36" s="44"/>
      <c r="C36" s="151"/>
      <c r="D36" s="151"/>
      <c r="E36" s="105"/>
      <c r="F36" s="151" t="s">
        <v>88</v>
      </c>
      <c r="G36" s="105"/>
      <c r="H36" s="171">
        <f t="shared" ref="H36:M36" si="7">H116</f>
        <v>2127.9394367076502</v>
      </c>
      <c r="I36" s="171">
        <f t="shared" si="7"/>
        <v>1917.1439536491248</v>
      </c>
      <c r="J36" s="171">
        <f t="shared" si="7"/>
        <v>1952.145930177202</v>
      </c>
      <c r="K36" s="171">
        <f t="shared" si="7"/>
        <v>1952.145930177202</v>
      </c>
      <c r="L36" s="171">
        <f t="shared" si="7"/>
        <v>1952.145930177202</v>
      </c>
      <c r="M36" s="171">
        <f t="shared" si="7"/>
        <v>1952.145930177202</v>
      </c>
      <c r="N36" s="168">
        <v>1952.1495412750614</v>
      </c>
      <c r="O36" s="168">
        <v>1952.1495412750614</v>
      </c>
      <c r="P36" s="168">
        <v>1952.1495412750614</v>
      </c>
      <c r="Q36" s="168">
        <v>1952.1495412750614</v>
      </c>
      <c r="R36" s="168">
        <v>1952.1495412750614</v>
      </c>
      <c r="S36" s="20"/>
      <c r="T36" s="186" t="s">
        <v>244</v>
      </c>
    </row>
    <row r="37" spans="1:20" s="19" customFormat="1" ht="15" customHeight="1" x14ac:dyDescent="0.2">
      <c r="A37" s="58">
        <v>37</v>
      </c>
      <c r="B37" s="44"/>
      <c r="C37" s="151"/>
      <c r="D37" s="151"/>
      <c r="E37" s="105"/>
      <c r="F37" s="151" t="s">
        <v>97</v>
      </c>
      <c r="G37" s="105"/>
      <c r="H37" s="98"/>
      <c r="I37" s="98"/>
      <c r="J37" s="102"/>
      <c r="K37" s="102"/>
      <c r="L37" s="102"/>
      <c r="M37" s="98"/>
      <c r="N37" s="102"/>
      <c r="O37" s="98"/>
      <c r="P37" s="98"/>
      <c r="Q37" s="102"/>
      <c r="R37" s="102"/>
      <c r="S37" s="20"/>
      <c r="T37" s="186"/>
    </row>
    <row r="38" spans="1:20" s="17" customFormat="1" ht="15" customHeight="1" x14ac:dyDescent="0.2">
      <c r="A38" s="58">
        <v>38</v>
      </c>
      <c r="B38" s="44"/>
      <c r="C38" s="151"/>
      <c r="D38" s="151"/>
      <c r="E38" s="105"/>
      <c r="F38" s="166" t="s">
        <v>56</v>
      </c>
      <c r="G38" s="105"/>
      <c r="H38" s="171">
        <f t="shared" ref="H38:M38" si="8">H131</f>
        <v>1586.807</v>
      </c>
      <c r="I38" s="171">
        <f t="shared" si="8"/>
        <v>578.79999999999995</v>
      </c>
      <c r="J38" s="171">
        <f t="shared" si="8"/>
        <v>466.44163179135222</v>
      </c>
      <c r="K38" s="171">
        <f t="shared" si="8"/>
        <v>229.71885914446017</v>
      </c>
      <c r="L38" s="171">
        <f t="shared" si="8"/>
        <v>920.40282260938625</v>
      </c>
      <c r="M38" s="171">
        <f t="shared" si="8"/>
        <v>690.68396346492614</v>
      </c>
      <c r="N38" s="168">
        <v>621.61556711843355</v>
      </c>
      <c r="O38" s="168">
        <v>310.80778355921677</v>
      </c>
      <c r="P38" s="168">
        <v>310.80778355921677</v>
      </c>
      <c r="Q38" s="168">
        <v>310.80778355921677</v>
      </c>
      <c r="R38" s="168">
        <v>310.80778355921677</v>
      </c>
      <c r="S38" s="20"/>
      <c r="T38" s="186" t="s">
        <v>239</v>
      </c>
    </row>
    <row r="39" spans="1:20" s="17" customFormat="1" ht="15" customHeight="1" x14ac:dyDescent="0.2">
      <c r="A39" s="58">
        <v>39</v>
      </c>
      <c r="B39" s="44"/>
      <c r="C39" s="151"/>
      <c r="D39" s="151"/>
      <c r="E39" s="105"/>
      <c r="F39" s="166" t="s">
        <v>78</v>
      </c>
      <c r="G39" s="105"/>
      <c r="H39" s="171">
        <f t="shared" ref="H39:M39" si="9">H146</f>
        <v>0</v>
      </c>
      <c r="I39" s="171">
        <f t="shared" si="9"/>
        <v>0</v>
      </c>
      <c r="J39" s="171">
        <f t="shared" si="9"/>
        <v>0</v>
      </c>
      <c r="K39" s="171">
        <f t="shared" si="9"/>
        <v>0</v>
      </c>
      <c r="L39" s="171">
        <f t="shared" si="9"/>
        <v>0</v>
      </c>
      <c r="M39" s="171">
        <f t="shared" si="9"/>
        <v>0</v>
      </c>
      <c r="N39" s="168">
        <v>0</v>
      </c>
      <c r="O39" s="168">
        <v>0</v>
      </c>
      <c r="P39" s="168">
        <v>0</v>
      </c>
      <c r="Q39" s="168">
        <v>0</v>
      </c>
      <c r="R39" s="168">
        <v>0</v>
      </c>
      <c r="S39" s="20"/>
      <c r="T39" s="186" t="s">
        <v>245</v>
      </c>
    </row>
    <row r="40" spans="1:20" s="17" customFormat="1" ht="15" customHeight="1" thickBot="1" x14ac:dyDescent="0.25">
      <c r="A40" s="58">
        <v>40</v>
      </c>
      <c r="B40" s="44"/>
      <c r="C40" s="151"/>
      <c r="D40" s="151"/>
      <c r="E40" s="105"/>
      <c r="F40" s="166" t="s">
        <v>143</v>
      </c>
      <c r="G40" s="105"/>
      <c r="H40" s="171">
        <f t="shared" ref="H40:M40" si="10">H160</f>
        <v>0</v>
      </c>
      <c r="I40" s="171">
        <f t="shared" si="10"/>
        <v>0</v>
      </c>
      <c r="J40" s="171">
        <f t="shared" si="10"/>
        <v>0</v>
      </c>
      <c r="K40" s="171">
        <f t="shared" si="10"/>
        <v>0</v>
      </c>
      <c r="L40" s="171">
        <f t="shared" si="10"/>
        <v>0</v>
      </c>
      <c r="M40" s="171">
        <f t="shared" si="10"/>
        <v>0</v>
      </c>
      <c r="N40" s="168">
        <v>0</v>
      </c>
      <c r="O40" s="168">
        <v>0</v>
      </c>
      <c r="P40" s="168">
        <v>0</v>
      </c>
      <c r="Q40" s="168">
        <v>0</v>
      </c>
      <c r="R40" s="168">
        <v>0</v>
      </c>
      <c r="S40" s="20"/>
      <c r="T40" s="186" t="s">
        <v>246</v>
      </c>
    </row>
    <row r="41" spans="1:20" s="17" customFormat="1" ht="15" customHeight="1" thickBot="1" x14ac:dyDescent="0.25">
      <c r="A41" s="58">
        <v>41</v>
      </c>
      <c r="B41" s="44"/>
      <c r="C41" s="151"/>
      <c r="D41" s="151"/>
      <c r="E41" s="60"/>
      <c r="F41" s="60" t="s">
        <v>96</v>
      </c>
      <c r="G41" s="105"/>
      <c r="H41" s="169">
        <f>SUM(H38:H40)</f>
        <v>1586.807</v>
      </c>
      <c r="I41" s="169">
        <f t="shared" ref="I41:R41" si="11">SUM(I38:I40)</f>
        <v>578.79999999999995</v>
      </c>
      <c r="J41" s="169">
        <f t="shared" si="11"/>
        <v>466.44163179135222</v>
      </c>
      <c r="K41" s="169">
        <f t="shared" si="11"/>
        <v>229.71885914446017</v>
      </c>
      <c r="L41" s="169">
        <f t="shared" si="11"/>
        <v>920.40282260938625</v>
      </c>
      <c r="M41" s="169">
        <f t="shared" si="11"/>
        <v>690.68396346492614</v>
      </c>
      <c r="N41" s="170">
        <f t="shared" si="11"/>
        <v>621.61556711843355</v>
      </c>
      <c r="O41" s="169">
        <f t="shared" si="11"/>
        <v>310.80778355921677</v>
      </c>
      <c r="P41" s="169">
        <f t="shared" si="11"/>
        <v>310.80778355921677</v>
      </c>
      <c r="Q41" s="169">
        <f t="shared" si="11"/>
        <v>310.80778355921677</v>
      </c>
      <c r="R41" s="169">
        <f t="shared" si="11"/>
        <v>310.80778355921677</v>
      </c>
      <c r="S41" s="20"/>
      <c r="T41" s="186"/>
    </row>
    <row r="42" spans="1:20" s="82" customFormat="1" ht="15" customHeight="1" thickBot="1" x14ac:dyDescent="0.25">
      <c r="A42" s="58">
        <v>42</v>
      </c>
      <c r="B42" s="44"/>
      <c r="C42" s="151"/>
      <c r="D42" s="151"/>
      <c r="E42" s="60" t="s">
        <v>237</v>
      </c>
      <c r="F42" s="60"/>
      <c r="G42" s="105"/>
      <c r="H42" s="169">
        <f>H33+H34+H35+H36+H41</f>
        <v>62432.044800007025</v>
      </c>
      <c r="I42" s="169">
        <f t="shared" ref="I42:R42" si="12">I33+I34+I35+I36+I41</f>
        <v>73416.07630142798</v>
      </c>
      <c r="J42" s="169">
        <f t="shared" si="12"/>
        <v>83148.079683430798</v>
      </c>
      <c r="K42" s="169">
        <f t="shared" si="12"/>
        <v>84247.180855973711</v>
      </c>
      <c r="L42" s="169">
        <f t="shared" si="12"/>
        <v>76660.705089432959</v>
      </c>
      <c r="M42" s="169">
        <f t="shared" si="12"/>
        <v>69470.371292833835</v>
      </c>
      <c r="N42" s="170">
        <f t="shared" si="12"/>
        <v>59901.51294357836</v>
      </c>
      <c r="O42" s="169">
        <f t="shared" si="12"/>
        <v>62808.820999012292</v>
      </c>
      <c r="P42" s="169">
        <f t="shared" si="12"/>
        <v>60575.109649006685</v>
      </c>
      <c r="Q42" s="169">
        <f t="shared" si="12"/>
        <v>57992.916163817252</v>
      </c>
      <c r="R42" s="169">
        <f t="shared" si="12"/>
        <v>57992.916163817252</v>
      </c>
      <c r="S42" s="20"/>
      <c r="T42" s="186"/>
    </row>
    <row r="43" spans="1:20" s="17" customFormat="1" ht="15" customHeight="1" thickBot="1" x14ac:dyDescent="0.25">
      <c r="A43" s="58">
        <v>43</v>
      </c>
      <c r="B43" s="44"/>
      <c r="C43" s="151"/>
      <c r="D43" s="151"/>
      <c r="E43" s="97"/>
      <c r="F43" s="196" t="s">
        <v>283</v>
      </c>
      <c r="G43" s="105"/>
      <c r="H43" s="171">
        <f t="shared" ref="H43:M43" si="13">H188</f>
        <v>3490</v>
      </c>
      <c r="I43" s="171">
        <f t="shared" si="13"/>
        <v>5933.6556036997354</v>
      </c>
      <c r="J43" s="171">
        <f t="shared" si="13"/>
        <v>2985.9483952497421</v>
      </c>
      <c r="K43" s="171">
        <f t="shared" si="13"/>
        <v>2821.1277616482957</v>
      </c>
      <c r="L43" s="171">
        <f t="shared" si="13"/>
        <v>2305.5156102585152</v>
      </c>
      <c r="M43" s="171">
        <f t="shared" si="13"/>
        <v>2127.4512000162922</v>
      </c>
      <c r="N43" s="168">
        <v>2127.4512000162922</v>
      </c>
      <c r="O43" s="168">
        <v>2354.4803662953418</v>
      </c>
      <c r="P43" s="168">
        <v>2218.5163149448194</v>
      </c>
      <c r="Q43" s="168">
        <v>2127.4512000162922</v>
      </c>
      <c r="R43" s="168">
        <v>2127.4512000162922</v>
      </c>
      <c r="S43" s="20"/>
      <c r="T43" s="186" t="s">
        <v>247</v>
      </c>
    </row>
    <row r="44" spans="1:20" s="17" customFormat="1" ht="15" customHeight="1" thickBot="1" x14ac:dyDescent="0.25">
      <c r="A44" s="58">
        <v>44</v>
      </c>
      <c r="B44" s="44"/>
      <c r="C44" s="151"/>
      <c r="D44" s="151"/>
      <c r="E44" s="97" t="s">
        <v>220</v>
      </c>
      <c r="F44" s="151"/>
      <c r="G44" s="102"/>
      <c r="H44" s="169">
        <f>H42+H43</f>
        <v>65922.044800007017</v>
      </c>
      <c r="I44" s="169">
        <f t="shared" ref="I44:R44" si="14">I42+I43</f>
        <v>79349.731905127715</v>
      </c>
      <c r="J44" s="169">
        <f t="shared" si="14"/>
        <v>86134.028078680538</v>
      </c>
      <c r="K44" s="169">
        <f t="shared" si="14"/>
        <v>87068.308617622009</v>
      </c>
      <c r="L44" s="169">
        <f t="shared" si="14"/>
        <v>78966.220699691476</v>
      </c>
      <c r="M44" s="169">
        <f t="shared" si="14"/>
        <v>71597.822492850129</v>
      </c>
      <c r="N44" s="170">
        <f t="shared" si="14"/>
        <v>62028.964143594654</v>
      </c>
      <c r="O44" s="169">
        <f t="shared" si="14"/>
        <v>65163.301365307634</v>
      </c>
      <c r="P44" s="169">
        <f t="shared" si="14"/>
        <v>62793.625963951505</v>
      </c>
      <c r="Q44" s="169">
        <f t="shared" si="14"/>
        <v>60120.367363833546</v>
      </c>
      <c r="R44" s="169">
        <f t="shared" si="14"/>
        <v>60120.367363833546</v>
      </c>
      <c r="S44" s="20"/>
      <c r="T44" s="186"/>
    </row>
    <row r="45" spans="1:20" s="5" customFormat="1" ht="15" customHeight="1" x14ac:dyDescent="0.2">
      <c r="A45" s="58">
        <v>45</v>
      </c>
      <c r="B45" s="44"/>
      <c r="C45" s="151"/>
      <c r="D45" s="153"/>
      <c r="E45" s="153"/>
      <c r="F45" s="151"/>
      <c r="G45" s="105"/>
      <c r="H45" s="98"/>
      <c r="I45" s="98"/>
      <c r="J45" s="102"/>
      <c r="K45" s="102"/>
      <c r="L45" s="102"/>
      <c r="M45" s="98"/>
      <c r="N45" s="102"/>
      <c r="O45" s="98"/>
      <c r="P45" s="98"/>
      <c r="Q45" s="102"/>
      <c r="R45" s="102"/>
      <c r="S45" s="20"/>
      <c r="T45" s="186"/>
    </row>
    <row r="46" spans="1:20" s="11" customFormat="1" ht="15" customHeight="1" x14ac:dyDescent="0.25">
      <c r="A46" s="58">
        <v>46</v>
      </c>
      <c r="B46" s="44"/>
      <c r="C46" s="114"/>
      <c r="D46" s="95" t="s">
        <v>231</v>
      </c>
      <c r="E46" s="97"/>
      <c r="F46" s="114"/>
      <c r="G46" s="102"/>
      <c r="H46" s="102"/>
      <c r="I46" s="102"/>
      <c r="J46" s="102"/>
      <c r="K46" s="102"/>
      <c r="L46" s="102"/>
      <c r="M46" s="102"/>
      <c r="N46" s="102"/>
      <c r="O46" s="102"/>
      <c r="P46" s="102"/>
      <c r="Q46" s="102"/>
      <c r="R46" s="102"/>
      <c r="S46" s="20"/>
      <c r="T46" s="186"/>
    </row>
    <row r="47" spans="1:20" s="10" customFormat="1" ht="15" customHeight="1" x14ac:dyDescent="0.2">
      <c r="A47" s="58">
        <v>47</v>
      </c>
      <c r="B47" s="44"/>
      <c r="C47" s="114"/>
      <c r="D47" s="114"/>
      <c r="E47" s="97"/>
      <c r="F47" s="114" t="s">
        <v>217</v>
      </c>
      <c r="G47" s="102"/>
      <c r="H47" s="168"/>
      <c r="I47" s="168"/>
      <c r="J47" s="168"/>
      <c r="K47" s="168"/>
      <c r="L47" s="168"/>
      <c r="M47" s="168"/>
      <c r="N47" s="168"/>
      <c r="O47" s="168"/>
      <c r="P47" s="168"/>
      <c r="Q47" s="168"/>
      <c r="R47" s="168"/>
      <c r="S47" s="20"/>
      <c r="T47" s="186"/>
    </row>
    <row r="48" spans="1:20" s="10" customFormat="1" ht="15" customHeight="1" x14ac:dyDescent="0.2">
      <c r="A48" s="58">
        <v>48</v>
      </c>
      <c r="B48" s="44"/>
      <c r="C48" s="151"/>
      <c r="D48" s="151"/>
      <c r="E48" s="97"/>
      <c r="F48" s="151" t="s">
        <v>140</v>
      </c>
      <c r="G48" s="102"/>
      <c r="H48" s="168"/>
      <c r="I48" s="168"/>
      <c r="J48" s="168"/>
      <c r="K48" s="168"/>
      <c r="L48" s="168"/>
      <c r="M48" s="168"/>
      <c r="N48" s="168"/>
      <c r="O48" s="168"/>
      <c r="P48" s="168"/>
      <c r="Q48" s="168"/>
      <c r="R48" s="168"/>
      <c r="S48" s="20"/>
      <c r="T48" s="186"/>
    </row>
    <row r="49" spans="1:20" s="10" customFormat="1" ht="15" customHeight="1" x14ac:dyDescent="0.2">
      <c r="A49" s="58">
        <v>49</v>
      </c>
      <c r="B49" s="44"/>
      <c r="C49" s="151"/>
      <c r="D49" s="151"/>
      <c r="E49" s="97"/>
      <c r="F49" s="151" t="s">
        <v>91</v>
      </c>
      <c r="G49" s="102"/>
      <c r="H49" s="168"/>
      <c r="I49" s="168"/>
      <c r="J49" s="168"/>
      <c r="K49" s="168"/>
      <c r="L49" s="168"/>
      <c r="M49" s="168"/>
      <c r="N49" s="168"/>
      <c r="O49" s="168"/>
      <c r="P49" s="168"/>
      <c r="Q49" s="168"/>
      <c r="R49" s="168"/>
      <c r="S49" s="20"/>
      <c r="T49" s="186"/>
    </row>
    <row r="50" spans="1:20" s="82" customFormat="1" ht="14.25" customHeight="1" x14ac:dyDescent="0.2">
      <c r="A50" s="58">
        <v>50</v>
      </c>
      <c r="B50" s="44"/>
      <c r="C50" s="151"/>
      <c r="D50" s="151"/>
      <c r="E50" s="97"/>
      <c r="F50" s="151"/>
      <c r="G50" s="102"/>
      <c r="H50" s="151"/>
      <c r="I50" s="102"/>
      <c r="J50" s="151"/>
      <c r="K50" s="102"/>
      <c r="L50" s="151"/>
      <c r="M50" s="102"/>
      <c r="N50" s="102"/>
      <c r="O50" s="102"/>
      <c r="P50" s="151"/>
      <c r="Q50" s="102"/>
      <c r="R50" s="151"/>
      <c r="S50" s="20"/>
      <c r="T50" s="186"/>
    </row>
    <row r="51" spans="1:20" s="71" customFormat="1" ht="34.5" customHeight="1" x14ac:dyDescent="0.2">
      <c r="A51" s="58">
        <v>51</v>
      </c>
      <c r="B51" s="44"/>
      <c r="C51" s="151"/>
      <c r="D51" s="151"/>
      <c r="E51" s="97"/>
      <c r="F51" s="151"/>
      <c r="G51" s="105"/>
      <c r="H51" s="122" t="s">
        <v>82</v>
      </c>
      <c r="I51" s="122" t="s">
        <v>161</v>
      </c>
      <c r="J51" s="122" t="s">
        <v>162</v>
      </c>
      <c r="K51" s="122" t="s">
        <v>163</v>
      </c>
      <c r="L51" s="122" t="s">
        <v>164</v>
      </c>
      <c r="M51" s="122" t="s">
        <v>165</v>
      </c>
      <c r="N51" s="152" t="s">
        <v>167</v>
      </c>
      <c r="O51" s="122" t="s">
        <v>168</v>
      </c>
      <c r="P51" s="122" t="s">
        <v>169</v>
      </c>
      <c r="Q51" s="122" t="s">
        <v>170</v>
      </c>
      <c r="R51" s="122" t="s">
        <v>171</v>
      </c>
      <c r="S51" s="20"/>
      <c r="T51" s="186"/>
    </row>
    <row r="52" spans="1:20" s="61" customFormat="1" ht="15" customHeight="1" x14ac:dyDescent="0.2">
      <c r="A52" s="58">
        <v>52</v>
      </c>
      <c r="B52" s="44"/>
      <c r="C52" s="151"/>
      <c r="D52" s="151"/>
      <c r="E52" s="97"/>
      <c r="F52" s="151"/>
      <c r="G52" s="189" t="str">
        <f>IF(ISNUMBER(CoverSheet!$C$12),"for year ended","")</f>
        <v>for year ended</v>
      </c>
      <c r="H52" s="123">
        <f>IF(ISNUMBER(CoverSheet!$C$12),DATE(YEAR(CoverSheet!$C$12),MONTH(CoverSheet!$C$12),DAY(CoverSheet!$C$12))-1,"")</f>
        <v>44286</v>
      </c>
      <c r="I52" s="123">
        <f>IF(ISNUMBER(CoverSheet!$C$12),DATE(YEAR(CoverSheet!$C$12)+1,MONTH(CoverSheet!$C$12),DAY(CoverSheet!$C$12))-1,"")</f>
        <v>44651</v>
      </c>
      <c r="J52" s="123">
        <f>IF(ISNUMBER(CoverSheet!$C$12),DATE(YEAR(CoverSheet!$C$12)+2,MONTH(CoverSheet!$C$12),DAY(CoverSheet!$C$12))-1,"")</f>
        <v>45016</v>
      </c>
      <c r="K52" s="123">
        <f>IF(ISNUMBER(CoverSheet!$C$12),DATE(YEAR(CoverSheet!$C$12)+3,MONTH(CoverSheet!$C$12),DAY(CoverSheet!$C$12))-1,"")</f>
        <v>45382</v>
      </c>
      <c r="L52" s="123">
        <f>IF(ISNUMBER(CoverSheet!$C$12),DATE(YEAR(CoverSheet!$C$12)+4,MONTH(CoverSheet!$C$12),DAY(CoverSheet!$C$12))-1,"")</f>
        <v>45747</v>
      </c>
      <c r="M52" s="123">
        <f>IF(ISNUMBER(CoverSheet!$C$12),DATE(YEAR(CoverSheet!$C$12)+5,MONTH(CoverSheet!$C$12),DAY(CoverSheet!$C$12))-1,"")</f>
        <v>46112</v>
      </c>
      <c r="N52" s="123">
        <f>IF(ISNUMBER(CoverSheet!$C$12),DATE(YEAR(CoverSheet!$C$12)+6,MONTH(CoverSheet!$C$12),DAY(CoverSheet!$C$12))-1,"")</f>
        <v>46477</v>
      </c>
      <c r="O52" s="123">
        <f>IF(ISNUMBER(CoverSheet!$C$12),DATE(YEAR(CoverSheet!$C$12)+7,MONTH(CoverSheet!$C$12),DAY(CoverSheet!$C$12))-1,"")</f>
        <v>46843</v>
      </c>
      <c r="P52" s="123">
        <f>IF(ISNUMBER(CoverSheet!$C$12),DATE(YEAR(CoverSheet!$C$12)+8,MONTH(CoverSheet!$C$12),DAY(CoverSheet!$C$12))-1,"")</f>
        <v>47208</v>
      </c>
      <c r="Q52" s="123">
        <f>IF(ISNUMBER(CoverSheet!$C$12),DATE(YEAR(CoverSheet!$C$12)+9,MONTH(CoverSheet!$C$12),DAY(CoverSheet!$C$12))-1,"")</f>
        <v>47573</v>
      </c>
      <c r="R52" s="123">
        <f>IF(ISNUMBER(CoverSheet!$C$12),DATE(YEAR(CoverSheet!$C$12)+10,MONTH(CoverSheet!$C$12),DAY(CoverSheet!$C$12))-1,"")</f>
        <v>47938</v>
      </c>
      <c r="S52" s="20"/>
      <c r="T52" s="186"/>
    </row>
    <row r="53" spans="1:20" s="17" customFormat="1" ht="15" customHeight="1" x14ac:dyDescent="0.25">
      <c r="A53" s="58">
        <v>53</v>
      </c>
      <c r="B53" s="44"/>
      <c r="C53" s="151"/>
      <c r="D53" s="95" t="s">
        <v>181</v>
      </c>
      <c r="E53" s="102"/>
      <c r="F53" s="102"/>
      <c r="G53" s="102"/>
      <c r="H53" s="129" t="s">
        <v>182</v>
      </c>
      <c r="I53" s="102"/>
      <c r="J53" s="102"/>
      <c r="K53" s="102"/>
      <c r="L53" s="102"/>
      <c r="M53" s="102"/>
      <c r="N53" s="102"/>
      <c r="O53" s="102"/>
      <c r="P53" s="102"/>
      <c r="Q53" s="102"/>
      <c r="R53" s="130"/>
      <c r="S53" s="20"/>
      <c r="T53" s="187"/>
    </row>
    <row r="54" spans="1:20" s="17" customFormat="1" ht="15" customHeight="1" x14ac:dyDescent="0.2">
      <c r="A54" s="58">
        <v>54</v>
      </c>
      <c r="B54" s="44"/>
      <c r="C54" s="151"/>
      <c r="D54" s="151"/>
      <c r="E54" s="98"/>
      <c r="F54" s="151" t="s">
        <v>177</v>
      </c>
      <c r="G54" s="98"/>
      <c r="H54" s="171">
        <f t="shared" ref="H54:R54" si="15">H10-H33</f>
        <v>0</v>
      </c>
      <c r="I54" s="171">
        <f t="shared" si="15"/>
        <v>108.3764088566968</v>
      </c>
      <c r="J54" s="171">
        <f t="shared" si="15"/>
        <v>253.93106884668123</v>
      </c>
      <c r="K54" s="171">
        <f t="shared" si="15"/>
        <v>547.34224713446565</v>
      </c>
      <c r="L54" s="171">
        <f t="shared" si="15"/>
        <v>831.77507972627427</v>
      </c>
      <c r="M54" s="171">
        <f t="shared" si="15"/>
        <v>1213.4190934047165</v>
      </c>
      <c r="N54" s="172">
        <f t="shared" si="15"/>
        <v>1189.8898086703139</v>
      </c>
      <c r="O54" s="171">
        <f t="shared" si="15"/>
        <v>1469.9222845842141</v>
      </c>
      <c r="P54" s="171">
        <f t="shared" si="15"/>
        <v>1756.0645599726013</v>
      </c>
      <c r="Q54" s="171">
        <f t="shared" si="15"/>
        <v>2049.334934747887</v>
      </c>
      <c r="R54" s="171">
        <f t="shared" si="15"/>
        <v>2291.0593476770719</v>
      </c>
      <c r="S54" s="20"/>
      <c r="T54" s="186"/>
    </row>
    <row r="55" spans="1:20" s="6" customFormat="1" ht="15" customHeight="1" x14ac:dyDescent="0.2">
      <c r="A55" s="58">
        <v>55</v>
      </c>
      <c r="B55" s="44"/>
      <c r="C55" s="151"/>
      <c r="D55" s="151"/>
      <c r="E55" s="105"/>
      <c r="F55" s="151" t="s">
        <v>86</v>
      </c>
      <c r="G55" s="105"/>
      <c r="H55" s="171">
        <f t="shared" ref="H55:R55" si="16">H11-H34</f>
        <v>0</v>
      </c>
      <c r="I55" s="171">
        <f t="shared" si="16"/>
        <v>103.02801306110723</v>
      </c>
      <c r="J55" s="171">
        <f t="shared" si="16"/>
        <v>466.98129719551252</v>
      </c>
      <c r="K55" s="171">
        <f t="shared" si="16"/>
        <v>653.87120608912301</v>
      </c>
      <c r="L55" s="171">
        <f t="shared" si="16"/>
        <v>422.15670423169104</v>
      </c>
      <c r="M55" s="171">
        <f t="shared" si="16"/>
        <v>363.78350372974</v>
      </c>
      <c r="N55" s="172">
        <f t="shared" si="16"/>
        <v>527.49433502646934</v>
      </c>
      <c r="O55" s="171">
        <f t="shared" si="16"/>
        <v>987.73090328516264</v>
      </c>
      <c r="P55" s="171">
        <f t="shared" si="16"/>
        <v>1374.1326686355551</v>
      </c>
      <c r="Q55" s="171">
        <f t="shared" si="16"/>
        <v>1426.3407336289602</v>
      </c>
      <c r="R55" s="171">
        <f t="shared" si="16"/>
        <v>1494.8079858551155</v>
      </c>
      <c r="S55" s="20"/>
      <c r="T55" s="186"/>
    </row>
    <row r="56" spans="1:20" s="17" customFormat="1" ht="15" customHeight="1" x14ac:dyDescent="0.2">
      <c r="A56" s="58">
        <v>56</v>
      </c>
      <c r="B56" s="44"/>
      <c r="C56" s="151"/>
      <c r="D56" s="151"/>
      <c r="E56" s="105"/>
      <c r="F56" s="151" t="s">
        <v>87</v>
      </c>
      <c r="G56" s="105"/>
      <c r="H56" s="171">
        <f t="shared" ref="H56:R56" si="17">H12-H35</f>
        <v>0</v>
      </c>
      <c r="I56" s="171">
        <f t="shared" si="17"/>
        <v>1242.0587202516326</v>
      </c>
      <c r="J56" s="171">
        <f t="shared" si="17"/>
        <v>2716.2411166751699</v>
      </c>
      <c r="K56" s="171">
        <f t="shared" si="17"/>
        <v>3845.8374213328279</v>
      </c>
      <c r="L56" s="171">
        <f t="shared" si="17"/>
        <v>4474.8805808985198</v>
      </c>
      <c r="M56" s="171">
        <f t="shared" si="17"/>
        <v>5101.3646914689452</v>
      </c>
      <c r="N56" s="172">
        <f t="shared" si="17"/>
        <v>5320.0295393210617</v>
      </c>
      <c r="O56" s="171">
        <f t="shared" si="17"/>
        <v>6375.3426709878404</v>
      </c>
      <c r="P56" s="171">
        <f t="shared" si="17"/>
        <v>6740.3593999959703</v>
      </c>
      <c r="Q56" s="171">
        <f t="shared" si="17"/>
        <v>7667.0273797489572</v>
      </c>
      <c r="R56" s="171">
        <f t="shared" si="17"/>
        <v>8467.1699120498379</v>
      </c>
      <c r="S56" s="20"/>
      <c r="T56" s="186"/>
    </row>
    <row r="57" spans="1:20" s="17" customFormat="1" ht="15" customHeight="1" x14ac:dyDescent="0.2">
      <c r="A57" s="58">
        <v>57</v>
      </c>
      <c r="B57" s="44"/>
      <c r="C57" s="151"/>
      <c r="D57" s="151"/>
      <c r="E57" s="105"/>
      <c r="F57" s="151" t="s">
        <v>88</v>
      </c>
      <c r="G57" s="105"/>
      <c r="H57" s="171">
        <f t="shared" ref="H57:R57" si="18">H13-H36</f>
        <v>0</v>
      </c>
      <c r="I57" s="171">
        <f t="shared" si="18"/>
        <v>50.00458841551108</v>
      </c>
      <c r="J57" s="171">
        <f t="shared" si="18"/>
        <v>95.724227922613181</v>
      </c>
      <c r="K57" s="171">
        <f t="shared" si="18"/>
        <v>145.62258503199382</v>
      </c>
      <c r="L57" s="171">
        <f t="shared" si="18"/>
        <v>189.41093923002154</v>
      </c>
      <c r="M57" s="171">
        <f t="shared" si="18"/>
        <v>234.21762724660857</v>
      </c>
      <c r="N57" s="172">
        <f t="shared" si="18"/>
        <v>290.226524130097</v>
      </c>
      <c r="O57" s="171">
        <f t="shared" si="18"/>
        <v>348.2716591601843</v>
      </c>
      <c r="P57" s="171">
        <f t="shared" si="18"/>
        <v>407.33512989255451</v>
      </c>
      <c r="Q57" s="171">
        <f t="shared" si="18"/>
        <v>468.43527202948917</v>
      </c>
      <c r="R57" s="171">
        <f t="shared" si="18"/>
        <v>520.23461475224622</v>
      </c>
      <c r="S57" s="20"/>
      <c r="T57" s="186"/>
    </row>
    <row r="58" spans="1:20" s="19" customFormat="1" ht="15" customHeight="1" x14ac:dyDescent="0.2">
      <c r="A58" s="58">
        <v>58</v>
      </c>
      <c r="B58" s="44"/>
      <c r="C58" s="151"/>
      <c r="D58" s="151"/>
      <c r="E58" s="105"/>
      <c r="F58" s="151" t="s">
        <v>97</v>
      </c>
      <c r="G58" s="105"/>
      <c r="H58" s="117"/>
      <c r="I58" s="117"/>
      <c r="J58" s="115"/>
      <c r="K58" s="115"/>
      <c r="L58" s="115"/>
      <c r="M58" s="117"/>
      <c r="N58" s="115"/>
      <c r="O58" s="117"/>
      <c r="P58" s="117"/>
      <c r="Q58" s="115"/>
      <c r="R58" s="115"/>
      <c r="S58" s="20"/>
      <c r="T58" s="186"/>
    </row>
    <row r="59" spans="1:20" s="17" customFormat="1" ht="15" customHeight="1" x14ac:dyDescent="0.2">
      <c r="A59" s="58">
        <v>59</v>
      </c>
      <c r="B59" s="44"/>
      <c r="C59" s="151"/>
      <c r="D59" s="151"/>
      <c r="E59" s="105"/>
      <c r="F59" s="166" t="s">
        <v>56</v>
      </c>
      <c r="G59" s="105"/>
      <c r="H59" s="171">
        <f t="shared" ref="H59:R59" si="19">H15-H38</f>
        <v>0</v>
      </c>
      <c r="I59" s="171">
        <f t="shared" si="19"/>
        <v>14.707807418446009</v>
      </c>
      <c r="J59" s="171">
        <f t="shared" si="19"/>
        <v>22.03699943829281</v>
      </c>
      <c r="K59" s="171">
        <f t="shared" si="19"/>
        <v>15.118610645304301</v>
      </c>
      <c r="L59" s="171">
        <f t="shared" si="19"/>
        <v>87.046727855552604</v>
      </c>
      <c r="M59" s="171">
        <f t="shared" si="19"/>
        <v>83.148547309539254</v>
      </c>
      <c r="N59" s="172">
        <f t="shared" si="19"/>
        <v>93.612320402894284</v>
      </c>
      <c r="O59" s="171">
        <f t="shared" si="19"/>
        <v>56.487058377881738</v>
      </c>
      <c r="P59" s="171">
        <f t="shared" si="19"/>
        <v>66.677477510970846</v>
      </c>
      <c r="Q59" s="171">
        <f t="shared" si="19"/>
        <v>75.848854730751043</v>
      </c>
      <c r="R59" s="171">
        <f t="shared" si="19"/>
        <v>85.078598903776253</v>
      </c>
      <c r="S59" s="20"/>
      <c r="T59" s="186"/>
    </row>
    <row r="60" spans="1:20" s="17" customFormat="1" ht="15" customHeight="1" x14ac:dyDescent="0.2">
      <c r="A60" s="58">
        <v>60</v>
      </c>
      <c r="B60" s="44"/>
      <c r="C60" s="151"/>
      <c r="D60" s="151"/>
      <c r="E60" s="105"/>
      <c r="F60" s="166" t="s">
        <v>78</v>
      </c>
      <c r="G60" s="105"/>
      <c r="H60" s="171">
        <f t="shared" ref="H60:R60" si="20">H16-H39</f>
        <v>0</v>
      </c>
      <c r="I60" s="171">
        <f t="shared" si="20"/>
        <v>0</v>
      </c>
      <c r="J60" s="171">
        <f t="shared" si="20"/>
        <v>0</v>
      </c>
      <c r="K60" s="171">
        <f t="shared" si="20"/>
        <v>0</v>
      </c>
      <c r="L60" s="171">
        <f t="shared" si="20"/>
        <v>0</v>
      </c>
      <c r="M60" s="171">
        <f t="shared" si="20"/>
        <v>0</v>
      </c>
      <c r="N60" s="172">
        <f t="shared" si="20"/>
        <v>0</v>
      </c>
      <c r="O60" s="171">
        <f t="shared" si="20"/>
        <v>0</v>
      </c>
      <c r="P60" s="171">
        <f t="shared" si="20"/>
        <v>0</v>
      </c>
      <c r="Q60" s="171">
        <f t="shared" si="20"/>
        <v>0</v>
      </c>
      <c r="R60" s="171">
        <f t="shared" si="20"/>
        <v>0</v>
      </c>
      <c r="S60" s="20"/>
      <c r="T60" s="186"/>
    </row>
    <row r="61" spans="1:20" s="17" customFormat="1" ht="15" customHeight="1" thickBot="1" x14ac:dyDescent="0.25">
      <c r="A61" s="58">
        <v>61</v>
      </c>
      <c r="B61" s="44"/>
      <c r="C61" s="151"/>
      <c r="D61" s="151"/>
      <c r="E61" s="105"/>
      <c r="F61" s="166" t="s">
        <v>143</v>
      </c>
      <c r="G61" s="105"/>
      <c r="H61" s="171">
        <f t="shared" ref="H61:R61" si="21">H17-H40</f>
        <v>0</v>
      </c>
      <c r="I61" s="171">
        <f t="shared" si="21"/>
        <v>0</v>
      </c>
      <c r="J61" s="171">
        <f t="shared" si="21"/>
        <v>0</v>
      </c>
      <c r="K61" s="171">
        <f t="shared" si="21"/>
        <v>0</v>
      </c>
      <c r="L61" s="171">
        <f t="shared" si="21"/>
        <v>0</v>
      </c>
      <c r="M61" s="171">
        <f t="shared" si="21"/>
        <v>0</v>
      </c>
      <c r="N61" s="173">
        <f t="shared" si="21"/>
        <v>0</v>
      </c>
      <c r="O61" s="171">
        <f t="shared" si="21"/>
        <v>0</v>
      </c>
      <c r="P61" s="171">
        <f t="shared" si="21"/>
        <v>0</v>
      </c>
      <c r="Q61" s="171">
        <f t="shared" si="21"/>
        <v>0</v>
      </c>
      <c r="R61" s="171">
        <f t="shared" si="21"/>
        <v>0</v>
      </c>
      <c r="S61" s="20"/>
      <c r="T61" s="186"/>
    </row>
    <row r="62" spans="1:20" s="17" customFormat="1" ht="15" customHeight="1" thickBot="1" x14ac:dyDescent="0.25">
      <c r="A62" s="58">
        <v>62</v>
      </c>
      <c r="B62" s="44"/>
      <c r="C62" s="151"/>
      <c r="D62" s="151"/>
      <c r="E62" s="60"/>
      <c r="F62" s="60" t="s">
        <v>96</v>
      </c>
      <c r="G62" s="105"/>
      <c r="H62" s="169">
        <f t="shared" ref="H62:R62" si="22">H18-H41</f>
        <v>0</v>
      </c>
      <c r="I62" s="169">
        <f t="shared" si="22"/>
        <v>14.707807418446009</v>
      </c>
      <c r="J62" s="169">
        <f t="shared" si="22"/>
        <v>22.03699943829281</v>
      </c>
      <c r="K62" s="169">
        <f t="shared" si="22"/>
        <v>15.118610645304301</v>
      </c>
      <c r="L62" s="169">
        <f t="shared" si="22"/>
        <v>87.046727855552604</v>
      </c>
      <c r="M62" s="169">
        <f t="shared" si="22"/>
        <v>83.148547309539254</v>
      </c>
      <c r="N62" s="170">
        <f t="shared" si="22"/>
        <v>93.612320402894284</v>
      </c>
      <c r="O62" s="169">
        <f t="shared" si="22"/>
        <v>56.487058377881738</v>
      </c>
      <c r="P62" s="169">
        <f t="shared" si="22"/>
        <v>66.677477510970846</v>
      </c>
      <c r="Q62" s="169">
        <f t="shared" si="22"/>
        <v>75.848854730751043</v>
      </c>
      <c r="R62" s="169">
        <f t="shared" si="22"/>
        <v>85.078598903776253</v>
      </c>
      <c r="S62" s="20"/>
      <c r="T62" s="186"/>
    </row>
    <row r="63" spans="1:20" s="82" customFormat="1" ht="15" customHeight="1" thickBot="1" x14ac:dyDescent="0.25">
      <c r="A63" s="58">
        <v>63</v>
      </c>
      <c r="B63" s="44"/>
      <c r="C63" s="151"/>
      <c r="D63" s="151"/>
      <c r="E63" s="60" t="s">
        <v>237</v>
      </c>
      <c r="F63" s="60"/>
      <c r="G63" s="105"/>
      <c r="H63" s="169">
        <f>H19-H42</f>
        <v>0</v>
      </c>
      <c r="I63" s="169">
        <f t="shared" ref="I63:R63" si="23">I19-I42</f>
        <v>1518.1755380033865</v>
      </c>
      <c r="J63" s="169">
        <f t="shared" si="23"/>
        <v>3554.914710078272</v>
      </c>
      <c r="K63" s="169">
        <f t="shared" si="23"/>
        <v>5207.7920702337433</v>
      </c>
      <c r="L63" s="169">
        <f t="shared" si="23"/>
        <v>6005.2700319420692</v>
      </c>
      <c r="M63" s="169">
        <f t="shared" si="23"/>
        <v>6995.9334631595557</v>
      </c>
      <c r="N63" s="170">
        <f>N19-N42</f>
        <v>7421.2525275508378</v>
      </c>
      <c r="O63" s="169">
        <f t="shared" si="23"/>
        <v>9237.754576395273</v>
      </c>
      <c r="P63" s="169">
        <f t="shared" si="23"/>
        <v>10344.569236007665</v>
      </c>
      <c r="Q63" s="169">
        <f t="shared" si="23"/>
        <v>11686.987174886046</v>
      </c>
      <c r="R63" s="169">
        <f t="shared" si="23"/>
        <v>12858.350459238063</v>
      </c>
      <c r="S63" s="20"/>
      <c r="T63" s="186"/>
    </row>
    <row r="64" spans="1:20" s="17" customFormat="1" ht="15" customHeight="1" thickBot="1" x14ac:dyDescent="0.25">
      <c r="A64" s="58">
        <v>64</v>
      </c>
      <c r="B64" s="44"/>
      <c r="C64" s="151"/>
      <c r="D64" s="151"/>
      <c r="E64" s="97"/>
      <c r="F64" s="196" t="s">
        <v>283</v>
      </c>
      <c r="G64" s="105"/>
      <c r="H64" s="171">
        <f t="shared" ref="H64:R64" si="24">H20-H43</f>
        <v>0</v>
      </c>
      <c r="I64" s="171">
        <f t="shared" si="24"/>
        <v>152.79300376003266</v>
      </c>
      <c r="J64" s="171">
        <f t="shared" si="24"/>
        <v>138.98073930674309</v>
      </c>
      <c r="K64" s="171">
        <f t="shared" si="24"/>
        <v>187.74512011910019</v>
      </c>
      <c r="L64" s="171">
        <f t="shared" si="24"/>
        <v>200.27187692496409</v>
      </c>
      <c r="M64" s="171">
        <f t="shared" si="24"/>
        <v>232.05470327926378</v>
      </c>
      <c r="N64" s="174">
        <f t="shared" si="24"/>
        <v>290.10387436635301</v>
      </c>
      <c r="O64" s="171">
        <f>O20-O43</f>
        <v>385.74903657472078</v>
      </c>
      <c r="P64" s="171">
        <f t="shared" si="24"/>
        <v>425.80183362884827</v>
      </c>
      <c r="Q64" s="171">
        <f t="shared" si="24"/>
        <v>471.38023319971808</v>
      </c>
      <c r="R64" s="171">
        <f t="shared" si="24"/>
        <v>524.55037751934833</v>
      </c>
      <c r="S64" s="20"/>
      <c r="T64" s="186"/>
    </row>
    <row r="65" spans="1:20" s="17" customFormat="1" ht="15" customHeight="1" thickBot="1" x14ac:dyDescent="0.25">
      <c r="A65" s="58">
        <v>65</v>
      </c>
      <c r="B65" s="44"/>
      <c r="C65" s="151"/>
      <c r="D65" s="151"/>
      <c r="E65" s="97" t="s">
        <v>220</v>
      </c>
      <c r="F65" s="151"/>
      <c r="G65" s="102"/>
      <c r="H65" s="169">
        <f>H21-H44</f>
        <v>0</v>
      </c>
      <c r="I65" s="169">
        <f t="shared" ref="I65:R65" si="25">I21-I44</f>
        <v>1670.9685417634173</v>
      </c>
      <c r="J65" s="169">
        <f t="shared" si="25"/>
        <v>3693.8954493850179</v>
      </c>
      <c r="K65" s="169">
        <f t="shared" si="25"/>
        <v>5395.537190352843</v>
      </c>
      <c r="L65" s="169">
        <f t="shared" si="25"/>
        <v>6205.5419088670315</v>
      </c>
      <c r="M65" s="169">
        <f t="shared" si="25"/>
        <v>7227.9881664388231</v>
      </c>
      <c r="N65" s="170">
        <f t="shared" si="25"/>
        <v>7711.3564019171899</v>
      </c>
      <c r="O65" s="169">
        <f t="shared" si="25"/>
        <v>9623.5036129699874</v>
      </c>
      <c r="P65" s="169">
        <f t="shared" si="25"/>
        <v>10770.371069636516</v>
      </c>
      <c r="Q65" s="169">
        <f t="shared" si="25"/>
        <v>12158.36740808576</v>
      </c>
      <c r="R65" s="169">
        <f t="shared" si="25"/>
        <v>13382.900836757413</v>
      </c>
      <c r="S65" s="20"/>
      <c r="T65" s="186"/>
    </row>
    <row r="66" spans="1:20" s="9" customFormat="1" x14ac:dyDescent="0.2">
      <c r="A66" s="58">
        <v>66</v>
      </c>
      <c r="B66" s="44"/>
      <c r="C66" s="151"/>
      <c r="D66" s="151"/>
      <c r="E66" s="102"/>
      <c r="F66" s="102"/>
      <c r="G66" s="102"/>
      <c r="H66" s="275" t="s">
        <v>82</v>
      </c>
      <c r="I66" s="102"/>
      <c r="J66" s="102"/>
      <c r="K66" s="102"/>
      <c r="L66" s="102"/>
      <c r="M66" s="102"/>
      <c r="N66" s="102"/>
      <c r="O66" s="102"/>
      <c r="P66" s="102"/>
      <c r="Q66" s="102"/>
      <c r="R66" s="109"/>
      <c r="S66" s="20"/>
      <c r="T66" s="187"/>
    </row>
    <row r="67" spans="1:20" s="17" customFormat="1" ht="21" customHeight="1" x14ac:dyDescent="0.2">
      <c r="A67" s="58">
        <v>67</v>
      </c>
      <c r="B67" s="44"/>
      <c r="C67" s="102"/>
      <c r="D67" s="102"/>
      <c r="E67" s="102"/>
      <c r="F67" s="102"/>
      <c r="G67" s="102"/>
      <c r="H67" s="276"/>
      <c r="I67" s="122" t="s">
        <v>161</v>
      </c>
      <c r="J67" s="122" t="s">
        <v>162</v>
      </c>
      <c r="K67" s="122" t="s">
        <v>163</v>
      </c>
      <c r="L67" s="122" t="s">
        <v>164</v>
      </c>
      <c r="M67" s="122" t="s">
        <v>165</v>
      </c>
      <c r="N67" s="122"/>
      <c r="O67" s="122"/>
      <c r="P67" s="122"/>
      <c r="Q67" s="122"/>
      <c r="R67" s="122"/>
      <c r="S67" s="20"/>
      <c r="T67" s="186"/>
    </row>
    <row r="68" spans="1:20" s="17" customFormat="1" ht="30" customHeight="1" x14ac:dyDescent="0.3">
      <c r="A68" s="58">
        <v>68</v>
      </c>
      <c r="B68" s="44"/>
      <c r="C68" s="90" t="s">
        <v>175</v>
      </c>
      <c r="D68" s="102"/>
      <c r="E68" s="102"/>
      <c r="F68" s="102"/>
      <c r="G68" s="190" t="str">
        <f>IF(ISNUMBER(CoverSheet!$C$12),"for year ended","")</f>
        <v>for year ended</v>
      </c>
      <c r="H68" s="156">
        <f>IF(ISNUMBER(CoverSheet!$C$12),DATE(YEAR(CoverSheet!$C$12),MONTH(CoverSheet!$C$12),DAY(CoverSheet!$C$12))-1,"")</f>
        <v>44286</v>
      </c>
      <c r="I68" s="156">
        <f>IF(ISNUMBER(CoverSheet!$C$12),DATE(YEAR(CoverSheet!$C$12)+1,MONTH(CoverSheet!$C$12),DAY(CoverSheet!$C$12))-1,"")</f>
        <v>44651</v>
      </c>
      <c r="J68" s="156">
        <f>IF(ISNUMBER(CoverSheet!$C$12),DATE(YEAR(CoverSheet!$C$12)+2,MONTH(CoverSheet!$C$12),DAY(CoverSheet!$C$12))-1,"")</f>
        <v>45016</v>
      </c>
      <c r="K68" s="156">
        <f>IF(ISNUMBER(CoverSheet!$C$12),DATE(YEAR(CoverSheet!$C$12)+3,MONTH(CoverSheet!$C$12),DAY(CoverSheet!$C$12))-1,"")</f>
        <v>45382</v>
      </c>
      <c r="L68" s="156">
        <f>IF(ISNUMBER(CoverSheet!$C$12),DATE(YEAR(CoverSheet!$C$12)+4,MONTH(CoverSheet!$C$12),DAY(CoverSheet!$C$12))-1,"")</f>
        <v>45747</v>
      </c>
      <c r="M68" s="156">
        <f>IF(ISNUMBER(CoverSheet!$C$12),DATE(YEAR(CoverSheet!$C$12)+5,MONTH(CoverSheet!$C$12),DAY(CoverSheet!$C$12))-1,"")</f>
        <v>46112</v>
      </c>
      <c r="N68" s="155"/>
      <c r="O68" s="155"/>
      <c r="P68" s="155"/>
      <c r="Q68" s="155"/>
      <c r="R68" s="155"/>
      <c r="S68" s="20"/>
      <c r="T68" s="186"/>
    </row>
    <row r="69" spans="1:20" s="10" customFormat="1" ht="15" customHeight="1" x14ac:dyDescent="0.2">
      <c r="A69" s="58">
        <v>69</v>
      </c>
      <c r="B69" s="44"/>
      <c r="C69" s="151"/>
      <c r="D69" s="151"/>
      <c r="E69" s="102"/>
      <c r="F69" s="110" t="s">
        <v>214</v>
      </c>
      <c r="G69" s="102"/>
      <c r="H69" s="132" t="s">
        <v>180</v>
      </c>
      <c r="I69" s="102"/>
      <c r="J69" s="102"/>
      <c r="K69" s="102"/>
      <c r="L69" s="102"/>
      <c r="M69" s="154"/>
      <c r="N69" s="102"/>
      <c r="O69" s="102"/>
      <c r="P69" s="102"/>
      <c r="Q69" s="102"/>
      <c r="R69" s="102"/>
      <c r="S69" s="20"/>
      <c r="T69" s="186"/>
    </row>
    <row r="70" spans="1:20" s="7" customFormat="1" ht="15" customHeight="1" x14ac:dyDescent="0.2">
      <c r="A70" s="58">
        <v>70</v>
      </c>
      <c r="B70" s="44"/>
      <c r="C70" s="274"/>
      <c r="D70" s="274"/>
      <c r="E70" s="102"/>
      <c r="F70" s="183" t="s">
        <v>380</v>
      </c>
      <c r="G70" s="102"/>
      <c r="H70" s="168">
        <v>10798.848537799369</v>
      </c>
      <c r="I70" s="168">
        <v>8524.1013162376912</v>
      </c>
      <c r="J70" s="168">
        <v>8679.7288546006821</v>
      </c>
      <c r="K70" s="168">
        <v>11572.971806134243</v>
      </c>
      <c r="L70" s="168">
        <v>13171.465294378462</v>
      </c>
      <c r="M70" s="168">
        <v>15302.789945370752</v>
      </c>
      <c r="N70" s="102"/>
      <c r="O70" s="102"/>
      <c r="P70" s="102"/>
      <c r="Q70" s="102"/>
      <c r="R70" s="102"/>
      <c r="S70" s="20"/>
      <c r="T70" s="186"/>
    </row>
    <row r="71" spans="1:20" ht="15" customHeight="1" x14ac:dyDescent="0.2">
      <c r="A71" s="58">
        <v>71</v>
      </c>
      <c r="B71" s="44"/>
      <c r="C71" s="274"/>
      <c r="D71" s="274"/>
      <c r="E71" s="102"/>
      <c r="F71" s="183"/>
      <c r="G71" s="102"/>
      <c r="H71" s="168"/>
      <c r="I71" s="168"/>
      <c r="J71" s="168"/>
      <c r="K71" s="168"/>
      <c r="L71" s="168"/>
      <c r="M71" s="168"/>
      <c r="N71" s="102"/>
      <c r="O71" s="102"/>
      <c r="P71" s="102"/>
      <c r="Q71" s="102"/>
      <c r="R71" s="102"/>
      <c r="S71" s="20"/>
      <c r="T71" s="186"/>
    </row>
    <row r="72" spans="1:20" s="11" customFormat="1" ht="15" customHeight="1" x14ac:dyDescent="0.2">
      <c r="A72" s="58">
        <v>72</v>
      </c>
      <c r="B72" s="44"/>
      <c r="C72" s="274"/>
      <c r="D72" s="274"/>
      <c r="E72" s="102"/>
      <c r="F72" s="183"/>
      <c r="G72" s="102"/>
      <c r="H72" s="168"/>
      <c r="I72" s="168"/>
      <c r="J72" s="168"/>
      <c r="K72" s="168"/>
      <c r="L72" s="168"/>
      <c r="M72" s="168"/>
      <c r="N72" s="102"/>
      <c r="O72" s="102"/>
      <c r="P72" s="102"/>
      <c r="Q72" s="102"/>
      <c r="R72" s="102"/>
      <c r="S72" s="20"/>
      <c r="T72" s="186"/>
    </row>
    <row r="73" spans="1:20" s="11" customFormat="1" ht="15" customHeight="1" x14ac:dyDescent="0.2">
      <c r="A73" s="58">
        <v>73</v>
      </c>
      <c r="B73" s="44"/>
      <c r="C73" s="274"/>
      <c r="D73" s="274"/>
      <c r="E73" s="102"/>
      <c r="F73" s="183"/>
      <c r="G73" s="102"/>
      <c r="H73" s="168"/>
      <c r="I73" s="168"/>
      <c r="J73" s="168"/>
      <c r="K73" s="168"/>
      <c r="L73" s="168"/>
      <c r="M73" s="168"/>
      <c r="N73" s="102"/>
      <c r="O73" s="102"/>
      <c r="P73" s="102"/>
      <c r="Q73" s="102"/>
      <c r="R73" s="102"/>
      <c r="S73" s="20"/>
      <c r="T73" s="186"/>
    </row>
    <row r="74" spans="1:20" ht="15" customHeight="1" x14ac:dyDescent="0.2">
      <c r="A74" s="58">
        <v>74</v>
      </c>
      <c r="B74" s="44"/>
      <c r="C74" s="274"/>
      <c r="D74" s="274"/>
      <c r="E74" s="102"/>
      <c r="F74" s="183"/>
      <c r="G74" s="102"/>
      <c r="H74" s="168"/>
      <c r="I74" s="168"/>
      <c r="J74" s="168"/>
      <c r="K74" s="168"/>
      <c r="L74" s="168"/>
      <c r="M74" s="168"/>
      <c r="N74" s="102"/>
      <c r="O74" s="102" t="s">
        <v>6</v>
      </c>
      <c r="P74" s="102"/>
      <c r="Q74" s="102"/>
      <c r="R74" s="102"/>
      <c r="S74" s="20"/>
      <c r="T74" s="186"/>
    </row>
    <row r="75" spans="1:20" s="14" customFormat="1" ht="15" customHeight="1" thickBot="1" x14ac:dyDescent="0.25">
      <c r="A75" s="58">
        <v>75</v>
      </c>
      <c r="B75" s="44"/>
      <c r="C75" s="151"/>
      <c r="D75" s="151"/>
      <c r="E75" s="105"/>
      <c r="F75" s="87" t="s">
        <v>92</v>
      </c>
      <c r="G75" s="105"/>
      <c r="H75" s="117"/>
      <c r="I75" s="117"/>
      <c r="J75" s="115"/>
      <c r="K75" s="115"/>
      <c r="L75" s="115"/>
      <c r="M75" s="117"/>
      <c r="N75" s="102"/>
      <c r="O75" s="98"/>
      <c r="P75" s="98"/>
      <c r="Q75" s="102"/>
      <c r="R75" s="102"/>
      <c r="S75" s="20"/>
      <c r="T75" s="186"/>
    </row>
    <row r="76" spans="1:20" ht="15" customHeight="1" thickBot="1" x14ac:dyDescent="0.25">
      <c r="A76" s="58">
        <v>76</v>
      </c>
      <c r="B76" s="44"/>
      <c r="C76" s="151"/>
      <c r="D76" s="151"/>
      <c r="E76" s="97" t="s">
        <v>223</v>
      </c>
      <c r="F76" s="97"/>
      <c r="G76" s="102"/>
      <c r="H76" s="169">
        <f t="shared" ref="H76:M76" si="26">SUM(H70:H74)</f>
        <v>10798.848537799369</v>
      </c>
      <c r="I76" s="169">
        <f t="shared" si="26"/>
        <v>8524.1013162376912</v>
      </c>
      <c r="J76" s="169">
        <f t="shared" si="26"/>
        <v>8679.7288546006821</v>
      </c>
      <c r="K76" s="169">
        <f t="shared" si="26"/>
        <v>11572.971806134243</v>
      </c>
      <c r="L76" s="169">
        <f t="shared" si="26"/>
        <v>13171.465294378462</v>
      </c>
      <c r="M76" s="169">
        <f t="shared" si="26"/>
        <v>15302.789945370752</v>
      </c>
      <c r="N76" s="102"/>
      <c r="O76" s="102"/>
      <c r="P76" s="102"/>
      <c r="Q76" s="102"/>
      <c r="R76" s="102"/>
      <c r="S76" s="20"/>
      <c r="T76" s="186" t="s">
        <v>248</v>
      </c>
    </row>
    <row r="77" spans="1:20" s="10" customFormat="1" ht="15" customHeight="1" thickBot="1" x14ac:dyDescent="0.25">
      <c r="A77" s="58">
        <v>77</v>
      </c>
      <c r="B77" s="44"/>
      <c r="C77" s="151"/>
      <c r="D77" s="101" t="s">
        <v>4</v>
      </c>
      <c r="E77" s="102"/>
      <c r="F77" s="151" t="s">
        <v>183</v>
      </c>
      <c r="G77" s="102"/>
      <c r="H77" s="168">
        <v>5447.8405377993695</v>
      </c>
      <c r="I77" s="168">
        <v>5114.4607897426149</v>
      </c>
      <c r="J77" s="168">
        <v>5207.8373127604091</v>
      </c>
      <c r="K77" s="168">
        <v>6943.7830836805451</v>
      </c>
      <c r="L77" s="168">
        <v>7902.879176627076</v>
      </c>
      <c r="M77" s="168">
        <v>9181.6739672224521</v>
      </c>
      <c r="N77" s="102"/>
      <c r="O77" s="102"/>
      <c r="P77" s="102"/>
      <c r="Q77" s="102"/>
      <c r="R77" s="102"/>
      <c r="S77" s="20"/>
      <c r="T77" s="186"/>
    </row>
    <row r="78" spans="1:20" s="10" customFormat="1" ht="15" customHeight="1" thickBot="1" x14ac:dyDescent="0.25">
      <c r="A78" s="58">
        <v>78</v>
      </c>
      <c r="B78" s="44"/>
      <c r="C78" s="151"/>
      <c r="D78" s="151"/>
      <c r="E78" s="97" t="s">
        <v>176</v>
      </c>
      <c r="F78" s="97"/>
      <c r="G78" s="102"/>
      <c r="H78" s="169">
        <f t="shared" ref="H78:M78" si="27">H76-H77</f>
        <v>5351.0079999999998</v>
      </c>
      <c r="I78" s="169">
        <f t="shared" si="27"/>
        <v>3409.6405264950763</v>
      </c>
      <c r="J78" s="169">
        <f t="shared" si="27"/>
        <v>3471.891541840273</v>
      </c>
      <c r="K78" s="169">
        <f t="shared" si="27"/>
        <v>4629.1887224536977</v>
      </c>
      <c r="L78" s="169">
        <f t="shared" si="27"/>
        <v>5268.5861177513862</v>
      </c>
      <c r="M78" s="169">
        <f t="shared" si="27"/>
        <v>6121.1159781483002</v>
      </c>
      <c r="N78" s="102"/>
      <c r="O78" s="102"/>
      <c r="P78" s="102"/>
      <c r="Q78" s="102"/>
      <c r="R78" s="102"/>
      <c r="S78" s="20"/>
      <c r="T78" s="186"/>
    </row>
    <row r="79" spans="1:20" s="17" customFormat="1" ht="30" customHeight="1" x14ac:dyDescent="0.3">
      <c r="A79" s="58">
        <v>79</v>
      </c>
      <c r="B79" s="44"/>
      <c r="C79" s="90" t="s">
        <v>147</v>
      </c>
      <c r="D79" s="102"/>
      <c r="E79" s="102"/>
      <c r="F79" s="102"/>
      <c r="G79" s="102"/>
      <c r="H79" s="155"/>
      <c r="I79" s="155"/>
      <c r="J79" s="155"/>
      <c r="K79" s="155"/>
      <c r="L79" s="155"/>
      <c r="M79" s="155"/>
      <c r="N79" s="155"/>
      <c r="O79" s="155"/>
      <c r="P79" s="155"/>
      <c r="Q79" s="155"/>
      <c r="R79" s="155"/>
      <c r="S79" s="20"/>
      <c r="T79" s="186"/>
    </row>
    <row r="80" spans="1:20" ht="15" customHeight="1" x14ac:dyDescent="0.2">
      <c r="A80" s="58">
        <v>80</v>
      </c>
      <c r="B80" s="44"/>
      <c r="C80" s="151"/>
      <c r="D80" s="151"/>
      <c r="E80" s="102"/>
      <c r="F80" s="151" t="s">
        <v>200</v>
      </c>
      <c r="G80" s="102"/>
      <c r="H80" s="168">
        <v>962.6</v>
      </c>
      <c r="I80" s="168">
        <v>0</v>
      </c>
      <c r="J80" s="168">
        <v>6138.0123616442834</v>
      </c>
      <c r="K80" s="168">
        <v>3051.3356481717192</v>
      </c>
      <c r="L80" s="168">
        <v>0</v>
      </c>
      <c r="M80" s="168">
        <v>0</v>
      </c>
      <c r="N80" s="102"/>
      <c r="O80" s="102"/>
      <c r="P80" s="102"/>
      <c r="Q80" s="102"/>
      <c r="R80" s="102"/>
      <c r="S80" s="20"/>
      <c r="T80" s="186"/>
    </row>
    <row r="81" spans="1:20" ht="15" customHeight="1" x14ac:dyDescent="0.2">
      <c r="A81" s="58">
        <v>81</v>
      </c>
      <c r="B81" s="44"/>
      <c r="C81" s="151"/>
      <c r="D81" s="151"/>
      <c r="E81" s="102"/>
      <c r="F81" s="151" t="s">
        <v>57</v>
      </c>
      <c r="G81" s="102"/>
      <c r="H81" s="168">
        <v>1635.4260467212698</v>
      </c>
      <c r="I81" s="168">
        <v>1815.5812162756847</v>
      </c>
      <c r="J81" s="168">
        <v>989.38839547446719</v>
      </c>
      <c r="K81" s="168">
        <v>3805.1443745048587</v>
      </c>
      <c r="L81" s="168">
        <v>1587.1969607623814</v>
      </c>
      <c r="M81" s="168">
        <v>32.231913406606381</v>
      </c>
      <c r="N81" s="102"/>
      <c r="O81" s="102"/>
      <c r="P81" s="102"/>
      <c r="Q81" s="102"/>
      <c r="R81" s="102"/>
      <c r="S81" s="20"/>
      <c r="T81" s="186"/>
    </row>
    <row r="82" spans="1:20" ht="15" customHeight="1" x14ac:dyDescent="0.2">
      <c r="A82" s="58">
        <v>82</v>
      </c>
      <c r="B82" s="44"/>
      <c r="C82" s="151"/>
      <c r="D82" s="151"/>
      <c r="E82" s="102"/>
      <c r="F82" s="151" t="s">
        <v>83</v>
      </c>
      <c r="G82" s="102"/>
      <c r="H82" s="168">
        <v>1602.0229300000008</v>
      </c>
      <c r="I82" s="168">
        <v>1107.8794500000004</v>
      </c>
      <c r="J82" s="168">
        <v>983.44814859226938</v>
      </c>
      <c r="K82" s="168">
        <v>1008.0343523070761</v>
      </c>
      <c r="L82" s="168">
        <v>1290.7756950273531</v>
      </c>
      <c r="M82" s="168">
        <v>1321.5084496708623</v>
      </c>
      <c r="N82" s="102"/>
      <c r="O82" s="102"/>
      <c r="P82" s="102"/>
      <c r="Q82" s="102"/>
      <c r="R82" s="102"/>
      <c r="S82" s="20"/>
      <c r="T82" s="186"/>
    </row>
    <row r="83" spans="1:20" ht="15" customHeight="1" x14ac:dyDescent="0.2">
      <c r="A83" s="58">
        <v>83</v>
      </c>
      <c r="B83" s="44"/>
      <c r="C83" s="151"/>
      <c r="D83" s="151"/>
      <c r="E83" s="102"/>
      <c r="F83" s="151" t="s">
        <v>84</v>
      </c>
      <c r="G83" s="102"/>
      <c r="H83" s="168">
        <v>1172.2118999999993</v>
      </c>
      <c r="I83" s="168">
        <v>810.64349999999968</v>
      </c>
      <c r="J83" s="168">
        <v>719.59620628702646</v>
      </c>
      <c r="K83" s="168">
        <v>737.58611144420217</v>
      </c>
      <c r="L83" s="168">
        <v>944.47002075172202</v>
      </c>
      <c r="M83" s="168">
        <v>966.95740219819118</v>
      </c>
      <c r="N83" s="102"/>
      <c r="O83" s="102"/>
      <c r="P83" s="102"/>
      <c r="Q83" s="102"/>
      <c r="R83" s="102"/>
      <c r="S83" s="20"/>
      <c r="T83" s="186"/>
    </row>
    <row r="84" spans="1:20" ht="15" customHeight="1" x14ac:dyDescent="0.2">
      <c r="A84" s="58">
        <v>84</v>
      </c>
      <c r="B84" s="44"/>
      <c r="C84" s="151"/>
      <c r="D84" s="151"/>
      <c r="E84" s="102"/>
      <c r="F84" s="151" t="s">
        <v>85</v>
      </c>
      <c r="G84" s="102"/>
      <c r="H84" s="168">
        <v>507.95848999999993</v>
      </c>
      <c r="I84" s="168">
        <v>351.27884999999992</v>
      </c>
      <c r="J84" s="168">
        <v>311.82502272437807</v>
      </c>
      <c r="K84" s="168">
        <v>319.6206482924876</v>
      </c>
      <c r="L84" s="168">
        <v>409.27034232574624</v>
      </c>
      <c r="M84" s="168">
        <v>419.01487428588291</v>
      </c>
      <c r="N84" s="102"/>
      <c r="O84" s="102"/>
      <c r="P84" s="102"/>
      <c r="Q84" s="102"/>
      <c r="R84" s="102"/>
      <c r="S84" s="20"/>
      <c r="T84" s="186"/>
    </row>
    <row r="85" spans="1:20" ht="15" customHeight="1" x14ac:dyDescent="0.2">
      <c r="A85" s="58">
        <v>85</v>
      </c>
      <c r="B85" s="44"/>
      <c r="C85" s="151"/>
      <c r="D85" s="151"/>
      <c r="E85" s="102"/>
      <c r="F85" s="151" t="s">
        <v>67</v>
      </c>
      <c r="G85" s="102"/>
      <c r="H85" s="168">
        <v>566.56908499999997</v>
      </c>
      <c r="I85" s="168">
        <v>391.81102499999997</v>
      </c>
      <c r="J85" s="168">
        <v>347.80483303872944</v>
      </c>
      <c r="K85" s="168">
        <v>356.49995386469766</v>
      </c>
      <c r="L85" s="168">
        <v>456.4938433633323</v>
      </c>
      <c r="M85" s="168">
        <v>467.36274439579256</v>
      </c>
      <c r="N85" s="102"/>
      <c r="O85" s="102"/>
      <c r="P85" s="102"/>
      <c r="Q85" s="102"/>
      <c r="R85" s="102"/>
      <c r="S85" s="20"/>
      <c r="T85" s="186"/>
    </row>
    <row r="86" spans="1:20" ht="15" customHeight="1" thickBot="1" x14ac:dyDescent="0.25">
      <c r="A86" s="58">
        <v>86</v>
      </c>
      <c r="B86" s="44"/>
      <c r="C86" s="151"/>
      <c r="D86" s="151"/>
      <c r="E86" s="102"/>
      <c r="F86" s="151" t="s">
        <v>173</v>
      </c>
      <c r="G86" s="102"/>
      <c r="H86" s="168">
        <v>30.980548278730073</v>
      </c>
      <c r="I86" s="168">
        <v>54.958958724315046</v>
      </c>
      <c r="J86" s="168">
        <v>11.993270104783774</v>
      </c>
      <c r="K86" s="168">
        <v>137.19665986468874</v>
      </c>
      <c r="L86" s="168">
        <v>77.598607439460054</v>
      </c>
      <c r="M86" s="168">
        <v>16.115956703303191</v>
      </c>
      <c r="N86" s="102"/>
      <c r="O86" s="102"/>
      <c r="P86" s="102"/>
      <c r="Q86" s="102"/>
      <c r="R86" s="102"/>
      <c r="S86" s="20"/>
      <c r="T86" s="186"/>
    </row>
    <row r="87" spans="1:20" ht="15" customHeight="1" thickBot="1" x14ac:dyDescent="0.25">
      <c r="A87" s="58">
        <v>87</v>
      </c>
      <c r="B87" s="44"/>
      <c r="C87" s="151"/>
      <c r="D87" s="151"/>
      <c r="E87" s="97" t="s">
        <v>232</v>
      </c>
      <c r="F87" s="151"/>
      <c r="G87" s="102"/>
      <c r="H87" s="169">
        <f t="shared" ref="H87:M87" si="28">SUM(H80:H86)</f>
        <v>6477.7689999999993</v>
      </c>
      <c r="I87" s="169">
        <f t="shared" si="28"/>
        <v>4532.1530000000002</v>
      </c>
      <c r="J87" s="169">
        <f t="shared" si="28"/>
        <v>9502.0682378659385</v>
      </c>
      <c r="K87" s="169">
        <f t="shared" si="28"/>
        <v>9415.4177484497304</v>
      </c>
      <c r="L87" s="169">
        <f t="shared" si="28"/>
        <v>4765.8054696699965</v>
      </c>
      <c r="M87" s="169">
        <f t="shared" si="28"/>
        <v>3223.1913406606382</v>
      </c>
      <c r="N87" s="102"/>
      <c r="O87" s="102"/>
      <c r="P87" s="102"/>
      <c r="Q87" s="102"/>
      <c r="R87" s="102"/>
      <c r="S87" s="20"/>
      <c r="T87" s="186" t="s">
        <v>249</v>
      </c>
    </row>
    <row r="88" spans="1:20" s="61" customFormat="1" ht="15" customHeight="1" thickBot="1" x14ac:dyDescent="0.25">
      <c r="A88" s="58">
        <v>88</v>
      </c>
      <c r="B88" s="44"/>
      <c r="C88" s="151"/>
      <c r="D88" s="101" t="s">
        <v>4</v>
      </c>
      <c r="E88" s="102"/>
      <c r="F88" s="151" t="s">
        <v>184</v>
      </c>
      <c r="G88" s="102"/>
      <c r="H88" s="168"/>
      <c r="I88" s="168"/>
      <c r="J88" s="168"/>
      <c r="K88" s="168"/>
      <c r="L88" s="168"/>
      <c r="M88" s="168"/>
      <c r="N88" s="102"/>
      <c r="O88" s="102"/>
      <c r="P88" s="102"/>
      <c r="Q88" s="102"/>
      <c r="R88" s="102"/>
      <c r="S88" s="20"/>
      <c r="T88" s="186"/>
    </row>
    <row r="89" spans="1:20" s="61" customFormat="1" ht="15" customHeight="1" thickBot="1" x14ac:dyDescent="0.25">
      <c r="A89" s="58">
        <v>89</v>
      </c>
      <c r="B89" s="44"/>
      <c r="C89" s="151"/>
      <c r="D89" s="151"/>
      <c r="E89" s="97" t="s">
        <v>233</v>
      </c>
      <c r="F89" s="97"/>
      <c r="G89" s="102"/>
      <c r="H89" s="169">
        <f t="shared" ref="H89:M89" si="29">H87-H88</f>
        <v>6477.7689999999993</v>
      </c>
      <c r="I89" s="169">
        <f t="shared" si="29"/>
        <v>4532.1530000000002</v>
      </c>
      <c r="J89" s="169">
        <f t="shared" si="29"/>
        <v>9502.0682378659385</v>
      </c>
      <c r="K89" s="169">
        <f t="shared" si="29"/>
        <v>9415.4177484497304</v>
      </c>
      <c r="L89" s="169">
        <f t="shared" si="29"/>
        <v>4765.8054696699965</v>
      </c>
      <c r="M89" s="169">
        <f t="shared" si="29"/>
        <v>3223.1913406606382</v>
      </c>
      <c r="N89" s="102"/>
      <c r="O89" s="102"/>
      <c r="P89" s="102"/>
      <c r="Q89" s="102"/>
      <c r="R89" s="102"/>
      <c r="S89" s="20"/>
      <c r="T89" s="186"/>
    </row>
    <row r="90" spans="1:20" s="82" customFormat="1" ht="15" customHeight="1" x14ac:dyDescent="0.2">
      <c r="A90" s="58">
        <v>90</v>
      </c>
      <c r="B90" s="44"/>
      <c r="C90" s="151"/>
      <c r="D90" s="151"/>
      <c r="E90" s="97"/>
      <c r="F90" s="97"/>
      <c r="G90" s="102"/>
      <c r="H90" s="126"/>
      <c r="I90" s="126"/>
      <c r="J90" s="126"/>
      <c r="K90" s="126"/>
      <c r="L90" s="126"/>
      <c r="M90" s="126"/>
      <c r="N90" s="102"/>
      <c r="O90" s="102"/>
      <c r="P90" s="102"/>
      <c r="Q90" s="102"/>
      <c r="R90" s="102"/>
      <c r="S90" s="20"/>
      <c r="T90" s="186"/>
    </row>
    <row r="91" spans="1:20" s="82" customFormat="1" ht="30" customHeight="1" x14ac:dyDescent="0.25">
      <c r="A91" s="58">
        <v>91</v>
      </c>
      <c r="B91" s="88"/>
      <c r="C91" s="102"/>
      <c r="D91" s="102"/>
      <c r="E91" s="102"/>
      <c r="F91" s="102"/>
      <c r="G91" s="155"/>
      <c r="H91" s="122" t="s">
        <v>82</v>
      </c>
      <c r="I91" s="122" t="s">
        <v>161</v>
      </c>
      <c r="J91" s="122" t="s">
        <v>162</v>
      </c>
      <c r="K91" s="122" t="s">
        <v>163</v>
      </c>
      <c r="L91" s="122" t="s">
        <v>164</v>
      </c>
      <c r="M91" s="122" t="s">
        <v>165</v>
      </c>
      <c r="N91" s="27"/>
      <c r="O91" s="147"/>
      <c r="P91" s="147"/>
      <c r="Q91" s="147"/>
      <c r="R91" s="147"/>
      <c r="S91" s="20"/>
      <c r="T91" s="186"/>
    </row>
    <row r="92" spans="1:20" s="82" customFormat="1" ht="15" customHeight="1" x14ac:dyDescent="0.25">
      <c r="A92" s="58">
        <v>92</v>
      </c>
      <c r="B92" s="88"/>
      <c r="C92" s="102"/>
      <c r="D92" s="102"/>
      <c r="E92" s="102"/>
      <c r="F92" s="102"/>
      <c r="G92" s="189" t="str">
        <f>IF(ISNUMBER(CoverSheet!$C$12),"for year ended","")</f>
        <v>for year ended</v>
      </c>
      <c r="H92" s="131">
        <f>IF(ISNUMBER(CoverSheet!$C$12),DATE(YEAR(CoverSheet!$C$12),MONTH(CoverSheet!$C$12),DAY(CoverSheet!$C$12))-1,"")</f>
        <v>44286</v>
      </c>
      <c r="I92" s="131">
        <f>IF(ISNUMBER(CoverSheet!$C$12),DATE(YEAR(CoverSheet!$C$12)+1,MONTH(CoverSheet!$C$12),DAY(CoverSheet!$C$12))-1,"")</f>
        <v>44651</v>
      </c>
      <c r="J92" s="131">
        <f>IF(ISNUMBER(CoverSheet!$C$12),DATE(YEAR(CoverSheet!$C$12)+2,MONTH(CoverSheet!$C$12),DAY(CoverSheet!$C$12))-1,"")</f>
        <v>45016</v>
      </c>
      <c r="K92" s="131">
        <f>IF(ISNUMBER(CoverSheet!$C$12),DATE(YEAR(CoverSheet!$C$12)+3,MONTH(CoverSheet!$C$12),DAY(CoverSheet!$C$12))-1,"")</f>
        <v>45382</v>
      </c>
      <c r="L92" s="131">
        <f>IF(ISNUMBER(CoverSheet!$C$12),DATE(YEAR(CoverSheet!$C$12)+4,MONTH(CoverSheet!$C$12),DAY(CoverSheet!$C$12))-1,"")</f>
        <v>45747</v>
      </c>
      <c r="M92" s="131">
        <f>IF(ISNUMBER(CoverSheet!$C$12),DATE(YEAR(CoverSheet!$C$12)+5,MONTH(CoverSheet!$C$12),DAY(CoverSheet!$C$12))-1,"")</f>
        <v>46112</v>
      </c>
      <c r="N92" s="27"/>
      <c r="O92" s="147"/>
      <c r="P92" s="147"/>
      <c r="Q92" s="147"/>
      <c r="R92" s="147"/>
      <c r="S92" s="20"/>
      <c r="T92" s="186"/>
    </row>
    <row r="93" spans="1:20" s="17" customFormat="1" ht="30" customHeight="1" x14ac:dyDescent="0.3">
      <c r="A93" s="58">
        <v>93</v>
      </c>
      <c r="B93" s="44"/>
      <c r="C93" s="90" t="s">
        <v>148</v>
      </c>
      <c r="D93" s="102"/>
      <c r="E93" s="97"/>
      <c r="F93" s="102"/>
      <c r="G93" s="102"/>
      <c r="H93" s="124" t="s">
        <v>180</v>
      </c>
      <c r="I93" s="102"/>
      <c r="J93" s="102"/>
      <c r="K93" s="102"/>
      <c r="L93" s="102"/>
      <c r="M93" s="154"/>
      <c r="N93" s="27"/>
      <c r="O93" s="27"/>
      <c r="P93" s="27"/>
      <c r="Q93" s="27"/>
      <c r="R93" s="27"/>
      <c r="S93" s="20"/>
      <c r="T93" s="186"/>
    </row>
    <row r="94" spans="1:20" s="10" customFormat="1" ht="15" customHeight="1" x14ac:dyDescent="0.2">
      <c r="A94" s="58">
        <v>94</v>
      </c>
      <c r="B94" s="44"/>
      <c r="C94" s="151"/>
      <c r="D94" s="151"/>
      <c r="E94" s="97"/>
      <c r="F94" s="151" t="s">
        <v>200</v>
      </c>
      <c r="G94" s="102"/>
      <c r="H94" s="168">
        <v>4716.7788011488947</v>
      </c>
      <c r="I94" s="168">
        <v>587.14238503119145</v>
      </c>
      <c r="J94" s="168">
        <v>10356.536703086338</v>
      </c>
      <c r="K94" s="168">
        <v>4189.4528903235005</v>
      </c>
      <c r="L94" s="168">
        <v>3558.1699878827376</v>
      </c>
      <c r="M94" s="168">
        <v>5003.413152834959</v>
      </c>
      <c r="N94" s="147"/>
      <c r="O94" s="147"/>
      <c r="P94" s="147"/>
      <c r="Q94" s="147"/>
      <c r="R94" s="147"/>
      <c r="S94" s="20"/>
      <c r="T94" s="186"/>
    </row>
    <row r="95" spans="1:20" s="10" customFormat="1" ht="15" customHeight="1" x14ac:dyDescent="0.2">
      <c r="A95" s="58">
        <v>95</v>
      </c>
      <c r="B95" s="44"/>
      <c r="C95" s="151"/>
      <c r="D95" s="151"/>
      <c r="E95" s="97"/>
      <c r="F95" s="151" t="s">
        <v>57</v>
      </c>
      <c r="G95" s="102"/>
      <c r="H95" s="168">
        <v>9771.0643780977316</v>
      </c>
      <c r="I95" s="168">
        <v>11069.9162440526</v>
      </c>
      <c r="J95" s="168">
        <v>8833.9387059985529</v>
      </c>
      <c r="K95" s="168">
        <v>12281.24823077785</v>
      </c>
      <c r="L95" s="168">
        <v>11848.305889600537</v>
      </c>
      <c r="M95" s="168">
        <v>6930.5233802592811</v>
      </c>
      <c r="N95" s="147"/>
      <c r="O95" s="147"/>
      <c r="P95" s="147"/>
      <c r="Q95" s="147"/>
      <c r="R95" s="147"/>
      <c r="S95" s="20"/>
      <c r="T95" s="186"/>
    </row>
    <row r="96" spans="1:20" s="10" customFormat="1" ht="15" customHeight="1" x14ac:dyDescent="0.2">
      <c r="A96" s="58">
        <v>96</v>
      </c>
      <c r="B96" s="44"/>
      <c r="C96" s="151"/>
      <c r="D96" s="151"/>
      <c r="E96" s="97"/>
      <c r="F96" s="151" t="s">
        <v>83</v>
      </c>
      <c r="G96" s="102"/>
      <c r="H96" s="168">
        <v>19410.01647492735</v>
      </c>
      <c r="I96" s="168">
        <v>35243.208614763753</v>
      </c>
      <c r="J96" s="168">
        <v>29902.884213956237</v>
      </c>
      <c r="K96" s="168">
        <v>29764.733674788968</v>
      </c>
      <c r="L96" s="168">
        <v>25604.496115348193</v>
      </c>
      <c r="M96" s="168">
        <v>24252.408178643069</v>
      </c>
      <c r="N96" s="147"/>
      <c r="O96" s="147"/>
      <c r="P96" s="147"/>
      <c r="Q96" s="147"/>
      <c r="R96" s="147"/>
      <c r="S96" s="20"/>
      <c r="T96" s="186"/>
    </row>
    <row r="97" spans="1:20" s="10" customFormat="1" ht="15" customHeight="1" x14ac:dyDescent="0.2">
      <c r="A97" s="58">
        <v>97</v>
      </c>
      <c r="B97" s="44"/>
      <c r="C97" s="151"/>
      <c r="D97" s="151"/>
      <c r="E97" s="97"/>
      <c r="F97" s="151" t="s">
        <v>84</v>
      </c>
      <c r="G97" s="102"/>
      <c r="H97" s="168">
        <v>2231.7321642998968</v>
      </c>
      <c r="I97" s="168">
        <v>5157.856549666486</v>
      </c>
      <c r="J97" s="168">
        <v>2565.84974904198</v>
      </c>
      <c r="K97" s="168">
        <v>2804.78674049459</v>
      </c>
      <c r="L97" s="168">
        <v>2690.3117960837553</v>
      </c>
      <c r="M97" s="168">
        <v>3500.5290907465387</v>
      </c>
      <c r="N97" s="147"/>
      <c r="O97" s="147"/>
      <c r="P97" s="147"/>
      <c r="Q97" s="147"/>
      <c r="R97" s="147"/>
      <c r="S97" s="20"/>
      <c r="T97" s="186"/>
    </row>
    <row r="98" spans="1:20" s="10" customFormat="1" ht="15" customHeight="1" x14ac:dyDescent="0.2">
      <c r="A98" s="58">
        <v>98</v>
      </c>
      <c r="B98" s="44"/>
      <c r="C98" s="151"/>
      <c r="D98" s="151"/>
      <c r="E98" s="97"/>
      <c r="F98" s="151" t="s">
        <v>85</v>
      </c>
      <c r="G98" s="102"/>
      <c r="H98" s="168">
        <v>2206.8021428266734</v>
      </c>
      <c r="I98" s="168">
        <v>2062.866799578027</v>
      </c>
      <c r="J98" s="168">
        <v>6519.9579552211862</v>
      </c>
      <c r="K98" s="168">
        <v>7289.843753978007</v>
      </c>
      <c r="L98" s="168">
        <v>7462.9704844881389</v>
      </c>
      <c r="M98" s="168">
        <v>5458.789860619936</v>
      </c>
      <c r="N98" s="147"/>
      <c r="O98" s="147"/>
      <c r="P98" s="147"/>
      <c r="Q98" s="147"/>
      <c r="R98" s="147"/>
      <c r="S98" s="20"/>
      <c r="T98" s="186"/>
    </row>
    <row r="99" spans="1:20" s="10" customFormat="1" ht="15" customHeight="1" x14ac:dyDescent="0.2">
      <c r="A99" s="58">
        <v>99</v>
      </c>
      <c r="B99" s="44"/>
      <c r="C99" s="151"/>
      <c r="D99" s="151"/>
      <c r="E99" s="97"/>
      <c r="F99" s="151" t="s">
        <v>67</v>
      </c>
      <c r="G99" s="102"/>
      <c r="H99" s="168">
        <v>2960.4707264248832</v>
      </c>
      <c r="I99" s="168">
        <v>3461.7727268748554</v>
      </c>
      <c r="J99" s="168">
        <v>4193.1837852698891</v>
      </c>
      <c r="K99" s="168">
        <v>4231.5211746616842</v>
      </c>
      <c r="L99" s="168">
        <v>4196.9513374810349</v>
      </c>
      <c r="M99" s="168">
        <v>2741.3805398768341</v>
      </c>
      <c r="N99" s="147"/>
      <c r="O99" s="147"/>
      <c r="P99" s="147"/>
      <c r="Q99" s="147"/>
      <c r="R99" s="147"/>
      <c r="S99" s="20"/>
      <c r="T99" s="186"/>
    </row>
    <row r="100" spans="1:20" s="10" customFormat="1" ht="15" customHeight="1" thickBot="1" x14ac:dyDescent="0.25">
      <c r="A100" s="58">
        <v>100</v>
      </c>
      <c r="B100" s="44"/>
      <c r="C100" s="151"/>
      <c r="D100" s="151"/>
      <c r="E100" s="97"/>
      <c r="F100" s="151" t="s">
        <v>173</v>
      </c>
      <c r="G100" s="102"/>
      <c r="H100" s="168">
        <v>143.8161377745742</v>
      </c>
      <c r="I100" s="168">
        <v>281.11471157424057</v>
      </c>
      <c r="J100" s="168">
        <v>175.34391642143635</v>
      </c>
      <c r="K100" s="168">
        <v>515.34004704348979</v>
      </c>
      <c r="L100" s="168">
        <v>489.67996171352348</v>
      </c>
      <c r="M100" s="168">
        <v>414.51591017971316</v>
      </c>
      <c r="N100" s="147"/>
      <c r="O100" s="147"/>
      <c r="P100" s="147"/>
      <c r="Q100" s="147"/>
      <c r="R100" s="147"/>
      <c r="S100" s="20"/>
      <c r="T100" s="186"/>
    </row>
    <row r="101" spans="1:20" ht="15" customHeight="1" thickBot="1" x14ac:dyDescent="0.25">
      <c r="A101" s="58">
        <v>101</v>
      </c>
      <c r="B101" s="44"/>
      <c r="C101" s="151"/>
      <c r="D101" s="151"/>
      <c r="E101" s="97" t="s">
        <v>234</v>
      </c>
      <c r="F101" s="151"/>
      <c r="G101" s="102"/>
      <c r="H101" s="169">
        <f t="shared" ref="H101:M101" si="30">SUM(H94:H100)</f>
        <v>41440.6808255</v>
      </c>
      <c r="I101" s="169">
        <f t="shared" si="30"/>
        <v>57863.878031541157</v>
      </c>
      <c r="J101" s="169">
        <f t="shared" si="30"/>
        <v>62547.695028995622</v>
      </c>
      <c r="K101" s="169">
        <f t="shared" si="30"/>
        <v>61076.926512068087</v>
      </c>
      <c r="L101" s="169">
        <f t="shared" si="30"/>
        <v>55850.885572597923</v>
      </c>
      <c r="M101" s="169">
        <f t="shared" si="30"/>
        <v>48301.560113160325</v>
      </c>
      <c r="N101" s="147"/>
      <c r="O101" s="147"/>
      <c r="P101" s="147"/>
      <c r="Q101" s="147"/>
      <c r="R101" s="147"/>
      <c r="S101" s="20"/>
      <c r="T101" s="186" t="s">
        <v>250</v>
      </c>
    </row>
    <row r="102" spans="1:20" s="61" customFormat="1" ht="15" customHeight="1" thickBot="1" x14ac:dyDescent="0.25">
      <c r="A102" s="58">
        <v>102</v>
      </c>
      <c r="B102" s="44"/>
      <c r="C102" s="151"/>
      <c r="D102" s="101" t="s">
        <v>4</v>
      </c>
      <c r="E102" s="102"/>
      <c r="F102" s="151" t="s">
        <v>185</v>
      </c>
      <c r="G102" s="102"/>
      <c r="H102" s="168"/>
      <c r="I102" s="168"/>
      <c r="J102" s="168"/>
      <c r="K102" s="168"/>
      <c r="L102" s="168"/>
      <c r="M102" s="168"/>
      <c r="N102" s="147"/>
      <c r="O102" s="147"/>
      <c r="P102" s="147"/>
      <c r="Q102" s="147"/>
      <c r="R102" s="147"/>
      <c r="S102" s="20"/>
      <c r="T102" s="186"/>
    </row>
    <row r="103" spans="1:20" s="61" customFormat="1" ht="15" customHeight="1" thickBot="1" x14ac:dyDescent="0.25">
      <c r="A103" s="58">
        <v>103</v>
      </c>
      <c r="B103" s="44"/>
      <c r="C103" s="151"/>
      <c r="D103" s="151"/>
      <c r="E103" s="97" t="s">
        <v>235</v>
      </c>
      <c r="F103" s="97"/>
      <c r="G103" s="102"/>
      <c r="H103" s="169">
        <f t="shared" ref="H103:M103" si="31">H101-H102</f>
        <v>41440.6808255</v>
      </c>
      <c r="I103" s="169">
        <f t="shared" si="31"/>
        <v>57863.878031541157</v>
      </c>
      <c r="J103" s="169">
        <f t="shared" si="31"/>
        <v>62547.695028995622</v>
      </c>
      <c r="K103" s="169">
        <f t="shared" si="31"/>
        <v>61076.926512068087</v>
      </c>
      <c r="L103" s="169">
        <f t="shared" si="31"/>
        <v>55850.885572597923</v>
      </c>
      <c r="M103" s="169">
        <f t="shared" si="31"/>
        <v>48301.560113160325</v>
      </c>
      <c r="N103" s="147"/>
      <c r="O103" s="147"/>
      <c r="P103" s="147"/>
      <c r="Q103" s="147"/>
      <c r="R103" s="147"/>
      <c r="S103" s="20"/>
      <c r="T103" s="186"/>
    </row>
    <row r="104" spans="1:20" s="199" customFormat="1" ht="15" customHeight="1" x14ac:dyDescent="0.2">
      <c r="A104" s="58">
        <v>104</v>
      </c>
      <c r="B104" s="44"/>
      <c r="C104" s="198"/>
      <c r="D104" s="198"/>
      <c r="E104" s="97"/>
      <c r="F104" s="97"/>
      <c r="G104" s="102"/>
      <c r="H104" s="126"/>
      <c r="I104" s="126"/>
      <c r="J104" s="126"/>
      <c r="K104" s="126"/>
      <c r="L104" s="126"/>
      <c r="M104" s="126"/>
      <c r="N104" s="102"/>
      <c r="O104" s="102"/>
      <c r="P104" s="102"/>
      <c r="Q104" s="102"/>
      <c r="R104" s="102"/>
      <c r="S104" s="20"/>
      <c r="T104" s="186"/>
    </row>
    <row r="105" spans="1:20" s="199" customFormat="1" ht="30" customHeight="1" x14ac:dyDescent="0.25">
      <c r="A105" s="58">
        <v>105</v>
      </c>
      <c r="B105" s="88"/>
      <c r="C105" s="102"/>
      <c r="D105" s="102"/>
      <c r="E105" s="102"/>
      <c r="F105" s="200"/>
      <c r="G105" s="201"/>
      <c r="H105" s="202" t="s">
        <v>82</v>
      </c>
      <c r="I105" s="202" t="s">
        <v>161</v>
      </c>
      <c r="J105" s="202" t="s">
        <v>162</v>
      </c>
      <c r="K105" s="202" t="s">
        <v>163</v>
      </c>
      <c r="L105" s="202" t="s">
        <v>164</v>
      </c>
      <c r="M105" s="202" t="s">
        <v>165</v>
      </c>
      <c r="N105" s="27"/>
      <c r="O105" s="147"/>
      <c r="P105" s="147"/>
      <c r="Q105" s="147"/>
      <c r="R105" s="147"/>
      <c r="S105" s="20"/>
      <c r="T105" s="186"/>
    </row>
    <row r="106" spans="1:20" s="199" customFormat="1" ht="15" customHeight="1" x14ac:dyDescent="0.25">
      <c r="A106" s="58">
        <v>106</v>
      </c>
      <c r="B106" s="88"/>
      <c r="C106" s="102"/>
      <c r="D106" s="102"/>
      <c r="E106" s="102"/>
      <c r="F106" s="102"/>
      <c r="G106" s="203" t="str">
        <f>IF(ISNUMBER(CoverSheet!$C$12),"for year ended","")</f>
        <v>for year ended</v>
      </c>
      <c r="H106" s="131">
        <f>IF(ISNUMBER(CoverSheet!$C$12),DATE(YEAR(CoverSheet!$C$12),MONTH(CoverSheet!$C$12),DAY(CoverSheet!$C$12))-1,"")</f>
        <v>44286</v>
      </c>
      <c r="I106" s="131">
        <f>IF(ISNUMBER(CoverSheet!$C$12),DATE(YEAR(CoverSheet!$C$12)+1,MONTH(CoverSheet!$C$12),DAY(CoverSheet!$C$12))-1,"")</f>
        <v>44651</v>
      </c>
      <c r="J106" s="131">
        <f>IF(ISNUMBER(CoverSheet!$C$12),DATE(YEAR(CoverSheet!$C$12)+2,MONTH(CoverSheet!$C$12),DAY(CoverSheet!$C$12))-1,"")</f>
        <v>45016</v>
      </c>
      <c r="K106" s="131">
        <f>IF(ISNUMBER(CoverSheet!$C$12),DATE(YEAR(CoverSheet!$C$12)+3,MONTH(CoverSheet!$C$12),DAY(CoverSheet!$C$12))-1,"")</f>
        <v>45382</v>
      </c>
      <c r="L106" s="131">
        <f>IF(ISNUMBER(CoverSheet!$C$12),DATE(YEAR(CoverSheet!$C$12)+4,MONTH(CoverSheet!$C$12),DAY(CoverSheet!$C$12))-1,"")</f>
        <v>45747</v>
      </c>
      <c r="M106" s="131">
        <f>IF(ISNUMBER(CoverSheet!$C$12),DATE(YEAR(CoverSheet!$C$12)+5,MONTH(CoverSheet!$C$12),DAY(CoverSheet!$C$12))-1,"")</f>
        <v>46112</v>
      </c>
      <c r="N106" s="27"/>
      <c r="O106" s="147"/>
      <c r="P106" s="147"/>
      <c r="Q106" s="147"/>
      <c r="R106" s="147"/>
      <c r="S106" s="20"/>
      <c r="T106" s="186"/>
    </row>
    <row r="107" spans="1:20" s="17" customFormat="1" ht="30" customHeight="1" x14ac:dyDescent="0.3">
      <c r="A107" s="58">
        <v>107</v>
      </c>
      <c r="B107" s="44"/>
      <c r="C107" s="90" t="s">
        <v>303</v>
      </c>
      <c r="D107" s="102"/>
      <c r="E107" s="97"/>
      <c r="F107" s="102"/>
      <c r="G107" s="102"/>
      <c r="H107" s="155"/>
      <c r="I107" s="155"/>
      <c r="J107" s="155"/>
      <c r="K107" s="155"/>
      <c r="L107" s="155"/>
      <c r="M107" s="155"/>
      <c r="N107" s="27"/>
      <c r="O107" s="27"/>
      <c r="P107" s="27"/>
      <c r="Q107" s="27"/>
      <c r="R107" s="27"/>
      <c r="S107" s="20"/>
      <c r="T107" s="186"/>
    </row>
    <row r="108" spans="1:20" s="17" customFormat="1" x14ac:dyDescent="0.2">
      <c r="A108" s="58">
        <v>108</v>
      </c>
      <c r="B108" s="44"/>
      <c r="C108" s="151"/>
      <c r="D108" s="151"/>
      <c r="E108" s="102"/>
      <c r="F108" s="110" t="s">
        <v>215</v>
      </c>
      <c r="G108" s="102"/>
      <c r="H108" s="204" t="s">
        <v>180</v>
      </c>
      <c r="I108" s="102"/>
      <c r="J108" s="102"/>
      <c r="K108" s="102"/>
      <c r="L108" s="102"/>
      <c r="M108" s="102"/>
      <c r="N108" s="147"/>
      <c r="O108" s="147"/>
      <c r="P108" s="147"/>
      <c r="Q108" s="147"/>
      <c r="R108" s="147"/>
      <c r="S108" s="20"/>
      <c r="T108" s="186"/>
    </row>
    <row r="109" spans="1:20" s="17" customFormat="1" ht="15" customHeight="1" x14ac:dyDescent="0.2">
      <c r="A109" s="58">
        <v>109</v>
      </c>
      <c r="B109" s="44"/>
      <c r="C109" s="151"/>
      <c r="D109" s="151"/>
      <c r="E109" s="102"/>
      <c r="F109" s="183" t="s">
        <v>317</v>
      </c>
      <c r="G109" s="102"/>
      <c r="H109" s="168">
        <v>2127.9394367076502</v>
      </c>
      <c r="I109" s="168">
        <v>1917.1439536491248</v>
      </c>
      <c r="J109" s="168">
        <v>1952.145930177202</v>
      </c>
      <c r="K109" s="168">
        <v>1952.145930177202</v>
      </c>
      <c r="L109" s="168">
        <v>1952.145930177202</v>
      </c>
      <c r="M109" s="168">
        <v>1952.145930177202</v>
      </c>
      <c r="N109" s="147"/>
      <c r="O109" s="147"/>
      <c r="P109" s="147"/>
      <c r="Q109" s="147"/>
      <c r="R109" s="147"/>
      <c r="S109" s="20"/>
      <c r="T109" s="186"/>
    </row>
    <row r="110" spans="1:20" s="17" customFormat="1" ht="15" customHeight="1" x14ac:dyDescent="0.2">
      <c r="A110" s="58">
        <v>110</v>
      </c>
      <c r="B110" s="44"/>
      <c r="C110" s="151"/>
      <c r="D110" s="151"/>
      <c r="E110" s="102"/>
      <c r="F110" s="183"/>
      <c r="G110" s="102"/>
      <c r="H110" s="168"/>
      <c r="I110" s="168"/>
      <c r="J110" s="168"/>
      <c r="K110" s="168"/>
      <c r="L110" s="168"/>
      <c r="M110" s="168"/>
      <c r="N110" s="147"/>
      <c r="O110" s="147"/>
      <c r="P110" s="147"/>
      <c r="Q110" s="147"/>
      <c r="R110" s="147"/>
      <c r="S110" s="20"/>
      <c r="T110" s="186"/>
    </row>
    <row r="111" spans="1:20" s="17" customFormat="1" ht="15" customHeight="1" x14ac:dyDescent="0.2">
      <c r="A111" s="58">
        <v>111</v>
      </c>
      <c r="B111" s="44"/>
      <c r="C111" s="151"/>
      <c r="D111" s="151"/>
      <c r="E111" s="102"/>
      <c r="F111" s="183"/>
      <c r="G111" s="102"/>
      <c r="H111" s="168"/>
      <c r="I111" s="168"/>
      <c r="J111" s="168"/>
      <c r="K111" s="168"/>
      <c r="L111" s="168"/>
      <c r="M111" s="168"/>
      <c r="N111" s="147"/>
      <c r="O111" s="147"/>
      <c r="P111" s="147"/>
      <c r="Q111" s="147"/>
      <c r="R111" s="147"/>
      <c r="S111" s="20"/>
      <c r="T111" s="186"/>
    </row>
    <row r="112" spans="1:20" s="17" customFormat="1" ht="15" customHeight="1" x14ac:dyDescent="0.2">
      <c r="A112" s="58">
        <v>112</v>
      </c>
      <c r="B112" s="44"/>
      <c r="C112" s="151"/>
      <c r="D112" s="151"/>
      <c r="E112" s="102"/>
      <c r="F112" s="183"/>
      <c r="G112" s="102"/>
      <c r="H112" s="168"/>
      <c r="I112" s="168"/>
      <c r="J112" s="168"/>
      <c r="K112" s="168"/>
      <c r="L112" s="168"/>
      <c r="M112" s="168"/>
      <c r="N112" s="147"/>
      <c r="O112" s="147"/>
      <c r="P112" s="147"/>
      <c r="Q112" s="147"/>
      <c r="R112" s="147"/>
      <c r="S112" s="20"/>
      <c r="T112" s="186"/>
    </row>
    <row r="113" spans="1:20" s="17" customFormat="1" ht="15" customHeight="1" x14ac:dyDescent="0.2">
      <c r="A113" s="58">
        <v>113</v>
      </c>
      <c r="B113" s="44"/>
      <c r="C113" s="151"/>
      <c r="D113" s="151"/>
      <c r="E113" s="102"/>
      <c r="F113" s="183"/>
      <c r="G113" s="102"/>
      <c r="H113" s="168"/>
      <c r="I113" s="168"/>
      <c r="J113" s="168"/>
      <c r="K113" s="168"/>
      <c r="L113" s="168"/>
      <c r="M113" s="168"/>
      <c r="N113" s="147"/>
      <c r="O113" s="147"/>
      <c r="P113" s="147"/>
      <c r="Q113" s="147"/>
      <c r="R113" s="147"/>
      <c r="S113" s="20"/>
      <c r="T113" s="186"/>
    </row>
    <row r="114" spans="1:20" s="14" customFormat="1" ht="15" customHeight="1" x14ac:dyDescent="0.2">
      <c r="A114" s="58">
        <v>114</v>
      </c>
      <c r="B114" s="44"/>
      <c r="C114" s="151"/>
      <c r="D114" s="151"/>
      <c r="E114" s="105"/>
      <c r="F114" s="87" t="s">
        <v>92</v>
      </c>
      <c r="G114" s="105"/>
      <c r="H114" s="117"/>
      <c r="I114" s="117"/>
      <c r="J114" s="115"/>
      <c r="K114" s="115"/>
      <c r="L114" s="115"/>
      <c r="M114" s="117"/>
      <c r="N114" s="147"/>
      <c r="O114" s="150"/>
      <c r="P114" s="150"/>
      <c r="Q114" s="147"/>
      <c r="R114" s="147"/>
      <c r="S114" s="20"/>
      <c r="T114" s="186"/>
    </row>
    <row r="115" spans="1:20" s="17" customFormat="1" ht="15" customHeight="1" thickBot="1" x14ac:dyDescent="0.25">
      <c r="A115" s="58">
        <v>115</v>
      </c>
      <c r="B115" s="44"/>
      <c r="C115" s="151"/>
      <c r="D115" s="151"/>
      <c r="E115" s="102"/>
      <c r="F115" s="196" t="s">
        <v>275</v>
      </c>
      <c r="G115" s="102"/>
      <c r="H115" s="168"/>
      <c r="I115" s="168"/>
      <c r="J115" s="168"/>
      <c r="K115" s="168"/>
      <c r="L115" s="168"/>
      <c r="M115" s="168"/>
      <c r="N115" s="147"/>
      <c r="O115" s="147"/>
      <c r="P115" s="147"/>
      <c r="Q115" s="147"/>
      <c r="R115" s="147"/>
      <c r="S115" s="20"/>
      <c r="T115" s="186"/>
    </row>
    <row r="116" spans="1:20" s="17" customFormat="1" ht="15" customHeight="1" thickBot="1" x14ac:dyDescent="0.25">
      <c r="A116" s="58">
        <v>116</v>
      </c>
      <c r="B116" s="44"/>
      <c r="C116" s="151"/>
      <c r="D116" s="101"/>
      <c r="E116" s="97" t="s">
        <v>224</v>
      </c>
      <c r="F116" s="151"/>
      <c r="G116" s="102"/>
      <c r="H116" s="169">
        <f t="shared" ref="H116:M116" si="32">SUM(H109:H113,H115)</f>
        <v>2127.9394367076502</v>
      </c>
      <c r="I116" s="169">
        <f t="shared" si="32"/>
        <v>1917.1439536491248</v>
      </c>
      <c r="J116" s="169">
        <f t="shared" si="32"/>
        <v>1952.145930177202</v>
      </c>
      <c r="K116" s="169">
        <f t="shared" si="32"/>
        <v>1952.145930177202</v>
      </c>
      <c r="L116" s="169">
        <f t="shared" si="32"/>
        <v>1952.145930177202</v>
      </c>
      <c r="M116" s="169">
        <f t="shared" si="32"/>
        <v>1952.145930177202</v>
      </c>
      <c r="N116" s="147"/>
      <c r="O116" s="147"/>
      <c r="P116" s="147"/>
      <c r="Q116" s="147"/>
      <c r="R116" s="147"/>
      <c r="S116" s="20"/>
      <c r="T116" s="186" t="s">
        <v>251</v>
      </c>
    </row>
    <row r="117" spans="1:20" s="17" customFormat="1" ht="15" customHeight="1" thickBot="1" x14ac:dyDescent="0.25">
      <c r="A117" s="58">
        <v>117</v>
      </c>
      <c r="B117" s="44"/>
      <c r="C117" s="151"/>
      <c r="D117" s="101" t="s">
        <v>4</v>
      </c>
      <c r="E117" s="97"/>
      <c r="F117" s="196" t="s">
        <v>265</v>
      </c>
      <c r="G117" s="102"/>
      <c r="H117" s="168">
        <v>1073.51026220063</v>
      </c>
      <c r="I117" s="168">
        <v>1150.2863721894748</v>
      </c>
      <c r="J117" s="168">
        <v>1171.2875581063211</v>
      </c>
      <c r="K117" s="168">
        <v>1171.2875581063211</v>
      </c>
      <c r="L117" s="168">
        <v>1171.2875581063211</v>
      </c>
      <c r="M117" s="168">
        <v>1171.2875581063211</v>
      </c>
      <c r="N117" s="147"/>
      <c r="O117" s="147"/>
      <c r="P117" s="147"/>
      <c r="Q117" s="147"/>
      <c r="R117" s="147"/>
      <c r="S117" s="20"/>
      <c r="T117" s="186"/>
    </row>
    <row r="118" spans="1:20" s="17" customFormat="1" ht="13.5" thickBot="1" x14ac:dyDescent="0.25">
      <c r="A118" s="58">
        <v>118</v>
      </c>
      <c r="B118" s="44"/>
      <c r="C118" s="151"/>
      <c r="D118" s="151"/>
      <c r="E118" s="97" t="s">
        <v>94</v>
      </c>
      <c r="F118" s="97"/>
      <c r="G118" s="102"/>
      <c r="H118" s="169">
        <f t="shared" ref="H118:M118" si="33">H116-H117</f>
        <v>1054.4291745070202</v>
      </c>
      <c r="I118" s="169">
        <f t="shared" si="33"/>
        <v>766.85758145964996</v>
      </c>
      <c r="J118" s="169">
        <f t="shared" si="33"/>
        <v>780.85837207088093</v>
      </c>
      <c r="K118" s="169">
        <f t="shared" si="33"/>
        <v>780.85837207088093</v>
      </c>
      <c r="L118" s="169">
        <f t="shared" si="33"/>
        <v>780.85837207088093</v>
      </c>
      <c r="M118" s="169">
        <f t="shared" si="33"/>
        <v>780.85837207088093</v>
      </c>
      <c r="N118" s="147"/>
      <c r="O118" s="147"/>
      <c r="P118" s="147"/>
      <c r="Q118" s="147"/>
      <c r="R118" s="147"/>
      <c r="S118" s="20"/>
      <c r="T118" s="186"/>
    </row>
    <row r="119" spans="1:20" s="19" customFormat="1" ht="16.5" customHeight="1" x14ac:dyDescent="0.2">
      <c r="A119" s="58">
        <v>119</v>
      </c>
      <c r="B119" s="44"/>
      <c r="C119" s="151"/>
      <c r="D119" s="153"/>
      <c r="E119" s="153"/>
      <c r="F119" s="151"/>
      <c r="G119" s="105"/>
      <c r="H119" s="98"/>
      <c r="I119" s="98"/>
      <c r="J119" s="102"/>
      <c r="K119" s="102"/>
      <c r="L119" s="102"/>
      <c r="M119" s="98"/>
      <c r="N119" s="147"/>
      <c r="O119" s="150"/>
      <c r="P119" s="150"/>
      <c r="Q119" s="147"/>
      <c r="R119" s="147"/>
      <c r="S119" s="20"/>
      <c r="T119" s="186"/>
    </row>
    <row r="120" spans="1:20" s="199" customFormat="1" ht="30" customHeight="1" x14ac:dyDescent="0.25">
      <c r="A120" s="58">
        <v>120</v>
      </c>
      <c r="B120" s="88"/>
      <c r="C120" s="102"/>
      <c r="D120" s="102"/>
      <c r="E120" s="102"/>
      <c r="F120" s="102"/>
      <c r="G120" s="201"/>
      <c r="H120" s="202" t="s">
        <v>82</v>
      </c>
      <c r="I120" s="202" t="s">
        <v>161</v>
      </c>
      <c r="J120" s="202" t="s">
        <v>162</v>
      </c>
      <c r="K120" s="202" t="s">
        <v>163</v>
      </c>
      <c r="L120" s="202" t="s">
        <v>164</v>
      </c>
      <c r="M120" s="202" t="s">
        <v>165</v>
      </c>
      <c r="N120" s="27"/>
      <c r="O120" s="147"/>
      <c r="P120" s="147"/>
      <c r="Q120" s="147"/>
      <c r="R120" s="147"/>
      <c r="S120" s="20"/>
      <c r="T120" s="186"/>
    </row>
    <row r="121" spans="1:20" s="199" customFormat="1" ht="15" customHeight="1" x14ac:dyDescent="0.25">
      <c r="A121" s="58">
        <v>121</v>
      </c>
      <c r="B121" s="88"/>
      <c r="C121" s="102"/>
      <c r="D121" s="102"/>
      <c r="E121" s="102"/>
      <c r="F121" s="102"/>
      <c r="G121" s="203" t="str">
        <f>IF(ISNUMBER(CoverSheet!$C$12),"for year ended","")</f>
        <v>for year ended</v>
      </c>
      <c r="H121" s="131">
        <f>IF(ISNUMBER(CoverSheet!$C$12),DATE(YEAR(CoverSheet!$C$12),MONTH(CoverSheet!$C$12),DAY(CoverSheet!$C$12))-1,"")</f>
        <v>44286</v>
      </c>
      <c r="I121" s="131">
        <f>IF(ISNUMBER(CoverSheet!$C$12),DATE(YEAR(CoverSheet!$C$12)+1,MONTH(CoverSheet!$C$12),DAY(CoverSheet!$C$12))-1,"")</f>
        <v>44651</v>
      </c>
      <c r="J121" s="131">
        <f>IF(ISNUMBER(CoverSheet!$C$12),DATE(YEAR(CoverSheet!$C$12)+2,MONTH(CoverSheet!$C$12),DAY(CoverSheet!$C$12))-1,"")</f>
        <v>45016</v>
      </c>
      <c r="K121" s="131">
        <f>IF(ISNUMBER(CoverSheet!$C$12),DATE(YEAR(CoverSheet!$C$12)+3,MONTH(CoverSheet!$C$12),DAY(CoverSheet!$C$12))-1,"")</f>
        <v>45382</v>
      </c>
      <c r="L121" s="131">
        <f>IF(ISNUMBER(CoverSheet!$C$12),DATE(YEAR(CoverSheet!$C$12)+4,MONTH(CoverSheet!$C$12),DAY(CoverSheet!$C$12))-1,"")</f>
        <v>45747</v>
      </c>
      <c r="M121" s="131">
        <f>IF(ISNUMBER(CoverSheet!$C$12),DATE(YEAR(CoverSheet!$C$12)+5,MONTH(CoverSheet!$C$12),DAY(CoverSheet!$C$12))-1,"")</f>
        <v>46112</v>
      </c>
      <c r="N121" s="27"/>
      <c r="O121" s="147"/>
      <c r="P121" s="147"/>
      <c r="Q121" s="147"/>
      <c r="R121" s="147"/>
      <c r="S121" s="20"/>
      <c r="T121" s="186"/>
    </row>
    <row r="122" spans="1:20" s="57" customFormat="1" ht="30" customHeight="1" x14ac:dyDescent="0.3">
      <c r="A122" s="58">
        <v>122</v>
      </c>
      <c r="B122" s="44"/>
      <c r="C122" s="90" t="s">
        <v>304</v>
      </c>
      <c r="D122" s="102"/>
      <c r="E122" s="97"/>
      <c r="F122" s="102"/>
      <c r="G122" s="102"/>
      <c r="H122" s="155"/>
      <c r="I122" s="155"/>
      <c r="J122" s="155"/>
      <c r="K122" s="155"/>
      <c r="L122" s="155"/>
      <c r="M122" s="155"/>
      <c r="N122" s="27"/>
      <c r="O122" s="27"/>
      <c r="P122" s="27"/>
      <c r="Q122" s="27"/>
      <c r="R122" s="27"/>
      <c r="S122" s="20"/>
      <c r="T122" s="186"/>
    </row>
    <row r="123" spans="1:20" s="17" customFormat="1" ht="15" customHeight="1" x14ac:dyDescent="0.2">
      <c r="A123" s="58">
        <v>123</v>
      </c>
      <c r="B123" s="44"/>
      <c r="C123" s="151"/>
      <c r="D123" s="151"/>
      <c r="E123" s="102"/>
      <c r="F123" s="110" t="s">
        <v>215</v>
      </c>
      <c r="G123" s="102"/>
      <c r="H123" s="204" t="s">
        <v>180</v>
      </c>
      <c r="I123" s="102"/>
      <c r="J123" s="102"/>
      <c r="K123" s="102"/>
      <c r="L123" s="102"/>
      <c r="M123" s="102"/>
      <c r="N123" s="147"/>
      <c r="O123" s="147"/>
      <c r="P123" s="147"/>
      <c r="Q123" s="147"/>
      <c r="R123" s="147"/>
      <c r="S123" s="20"/>
      <c r="T123" s="186"/>
    </row>
    <row r="124" spans="1:20" s="17" customFormat="1" ht="15" customHeight="1" x14ac:dyDescent="0.2">
      <c r="A124" s="58">
        <v>124</v>
      </c>
      <c r="B124" s="44"/>
      <c r="C124" s="151"/>
      <c r="D124" s="151"/>
      <c r="E124" s="102"/>
      <c r="F124" s="266" t="s">
        <v>384</v>
      </c>
      <c r="G124" s="102"/>
      <c r="H124" s="168">
        <v>1350.354</v>
      </c>
      <c r="I124" s="168">
        <v>355</v>
      </c>
      <c r="J124" s="168">
        <v>0</v>
      </c>
      <c r="K124" s="168">
        <v>0</v>
      </c>
      <c r="L124" s="168">
        <v>690.68396346492614</v>
      </c>
      <c r="M124" s="168">
        <v>690.68396346492614</v>
      </c>
      <c r="N124" s="147"/>
      <c r="O124" s="147"/>
      <c r="P124" s="147"/>
      <c r="Q124" s="147"/>
      <c r="R124" s="147"/>
      <c r="S124" s="20"/>
      <c r="T124" s="186"/>
    </row>
    <row r="125" spans="1:20" s="17" customFormat="1" ht="15" customHeight="1" x14ac:dyDescent="0.2">
      <c r="A125" s="58">
        <v>125</v>
      </c>
      <c r="B125" s="44"/>
      <c r="C125" s="151"/>
      <c r="D125" s="151"/>
      <c r="E125" s="102"/>
      <c r="F125" s="266" t="s">
        <v>385</v>
      </c>
      <c r="G125" s="102"/>
      <c r="H125" s="168">
        <v>236.453</v>
      </c>
      <c r="I125" s="168">
        <v>223.8</v>
      </c>
      <c r="J125" s="168">
        <v>466.44163179135222</v>
      </c>
      <c r="K125" s="168">
        <v>229.71885914446017</v>
      </c>
      <c r="L125" s="168">
        <v>229.71885914446017</v>
      </c>
      <c r="M125" s="168">
        <v>0</v>
      </c>
      <c r="N125" s="147"/>
      <c r="O125" s="147"/>
      <c r="P125" s="147"/>
      <c r="Q125" s="147"/>
      <c r="R125" s="147"/>
      <c r="S125" s="20"/>
      <c r="T125" s="186"/>
    </row>
    <row r="126" spans="1:20" s="17" customFormat="1" ht="15" customHeight="1" x14ac:dyDescent="0.2">
      <c r="A126" s="58">
        <v>126</v>
      </c>
      <c r="B126" s="44"/>
      <c r="C126" s="151"/>
      <c r="D126" s="151"/>
      <c r="E126" s="102"/>
      <c r="F126" s="183"/>
      <c r="G126" s="102"/>
      <c r="H126" s="168"/>
      <c r="I126" s="168"/>
      <c r="J126" s="168"/>
      <c r="K126" s="168"/>
      <c r="L126" s="168"/>
      <c r="M126" s="168"/>
      <c r="N126" s="147"/>
      <c r="O126" s="147"/>
      <c r="P126" s="147"/>
      <c r="Q126" s="147"/>
      <c r="R126" s="147"/>
      <c r="S126" s="20"/>
      <c r="T126" s="186"/>
    </row>
    <row r="127" spans="1:20" s="17" customFormat="1" ht="15" customHeight="1" x14ac:dyDescent="0.2">
      <c r="A127" s="58">
        <v>127</v>
      </c>
      <c r="B127" s="44"/>
      <c r="C127" s="151"/>
      <c r="D127" s="151"/>
      <c r="E127" s="102"/>
      <c r="F127" s="183"/>
      <c r="G127" s="102"/>
      <c r="H127" s="168"/>
      <c r="I127" s="168"/>
      <c r="J127" s="168"/>
      <c r="K127" s="168"/>
      <c r="L127" s="168"/>
      <c r="M127" s="168"/>
      <c r="N127" s="147"/>
      <c r="O127" s="147"/>
      <c r="P127" s="147"/>
      <c r="Q127" s="147"/>
      <c r="R127" s="147"/>
      <c r="S127" s="20"/>
      <c r="T127" s="186"/>
    </row>
    <row r="128" spans="1:20" s="17" customFormat="1" ht="15" customHeight="1" x14ac:dyDescent="0.2">
      <c r="A128" s="58">
        <v>128</v>
      </c>
      <c r="B128" s="44"/>
      <c r="C128" s="151"/>
      <c r="D128" s="151"/>
      <c r="E128" s="102"/>
      <c r="F128" s="183"/>
      <c r="G128" s="102"/>
      <c r="H128" s="168"/>
      <c r="I128" s="168"/>
      <c r="J128" s="168"/>
      <c r="K128" s="168"/>
      <c r="L128" s="168"/>
      <c r="M128" s="168"/>
      <c r="N128" s="147"/>
      <c r="O128" s="147"/>
      <c r="P128" s="147"/>
      <c r="Q128" s="147"/>
      <c r="R128" s="147"/>
      <c r="S128" s="20"/>
      <c r="T128" s="186"/>
    </row>
    <row r="129" spans="1:20" s="14" customFormat="1" ht="15" customHeight="1" x14ac:dyDescent="0.2">
      <c r="A129" s="58">
        <v>129</v>
      </c>
      <c r="B129" s="44"/>
      <c r="C129" s="151"/>
      <c r="D129" s="151"/>
      <c r="E129" s="105"/>
      <c r="F129" s="87" t="s">
        <v>92</v>
      </c>
      <c r="G129" s="105"/>
      <c r="H129" s="117"/>
      <c r="I129" s="117"/>
      <c r="J129" s="115"/>
      <c r="K129" s="115"/>
      <c r="L129" s="115"/>
      <c r="M129" s="117"/>
      <c r="N129" s="147"/>
      <c r="O129" s="150"/>
      <c r="P129" s="150"/>
      <c r="Q129" s="147"/>
      <c r="R129" s="147"/>
      <c r="S129" s="20"/>
      <c r="T129" s="186"/>
    </row>
    <row r="130" spans="1:20" s="17" customFormat="1" ht="15" customHeight="1" thickBot="1" x14ac:dyDescent="0.25">
      <c r="A130" s="58">
        <v>130</v>
      </c>
      <c r="B130" s="44"/>
      <c r="C130" s="151"/>
      <c r="D130" s="151"/>
      <c r="E130" s="102"/>
      <c r="F130" s="196" t="s">
        <v>276</v>
      </c>
      <c r="G130" s="102"/>
      <c r="H130" s="168"/>
      <c r="I130" s="168"/>
      <c r="J130" s="168"/>
      <c r="K130" s="168"/>
      <c r="L130" s="168"/>
      <c r="M130" s="168"/>
      <c r="N130" s="147"/>
      <c r="O130" s="147"/>
      <c r="P130" s="147"/>
      <c r="Q130" s="147"/>
      <c r="R130" s="147"/>
      <c r="S130" s="20"/>
      <c r="T130" s="186"/>
    </row>
    <row r="131" spans="1:20" s="17" customFormat="1" ht="15" customHeight="1" thickBot="1" x14ac:dyDescent="0.25">
      <c r="A131" s="58">
        <v>131</v>
      </c>
      <c r="B131" s="44"/>
      <c r="C131" s="151"/>
      <c r="D131" s="101"/>
      <c r="E131" s="97" t="s">
        <v>225</v>
      </c>
      <c r="F131" s="151"/>
      <c r="G131" s="102"/>
      <c r="H131" s="169">
        <f t="shared" ref="H131:M131" si="34">SUM(H124:H128,H130)</f>
        <v>1586.807</v>
      </c>
      <c r="I131" s="169">
        <f t="shared" si="34"/>
        <v>578.79999999999995</v>
      </c>
      <c r="J131" s="169">
        <f t="shared" si="34"/>
        <v>466.44163179135222</v>
      </c>
      <c r="K131" s="169">
        <f t="shared" si="34"/>
        <v>229.71885914446017</v>
      </c>
      <c r="L131" s="169">
        <f t="shared" si="34"/>
        <v>920.40282260938625</v>
      </c>
      <c r="M131" s="169">
        <f t="shared" si="34"/>
        <v>690.68396346492614</v>
      </c>
      <c r="N131" s="147"/>
      <c r="O131" s="147"/>
      <c r="P131" s="147"/>
      <c r="Q131" s="147"/>
      <c r="R131" s="147"/>
      <c r="S131" s="20"/>
      <c r="T131" s="186" t="s">
        <v>252</v>
      </c>
    </row>
    <row r="132" spans="1:20" s="61" customFormat="1" ht="15" customHeight="1" thickBot="1" x14ac:dyDescent="0.25">
      <c r="A132" s="58">
        <v>132</v>
      </c>
      <c r="B132" s="44"/>
      <c r="C132" s="151"/>
      <c r="D132" s="101" t="s">
        <v>4</v>
      </c>
      <c r="E132" s="102"/>
      <c r="F132" s="151" t="s">
        <v>186</v>
      </c>
      <c r="G132" s="102"/>
      <c r="H132" s="168"/>
      <c r="I132" s="168"/>
      <c r="J132" s="168"/>
      <c r="K132" s="168"/>
      <c r="L132" s="168"/>
      <c r="M132" s="168"/>
      <c r="N132" s="147"/>
      <c r="O132" s="147"/>
      <c r="P132" s="147"/>
      <c r="Q132" s="147"/>
      <c r="R132" s="147"/>
      <c r="S132" s="20"/>
      <c r="T132" s="186"/>
    </row>
    <row r="133" spans="1:20" s="61" customFormat="1" ht="15" customHeight="1" thickBot="1" x14ac:dyDescent="0.25">
      <c r="A133" s="58">
        <v>133</v>
      </c>
      <c r="B133" s="44"/>
      <c r="C133" s="151"/>
      <c r="D133" s="151"/>
      <c r="E133" s="97" t="s">
        <v>188</v>
      </c>
      <c r="F133" s="97"/>
      <c r="G133" s="102"/>
      <c r="H133" s="169">
        <f t="shared" ref="H133:M133" si="35">H131-H132</f>
        <v>1586.807</v>
      </c>
      <c r="I133" s="169">
        <f t="shared" si="35"/>
        <v>578.79999999999995</v>
      </c>
      <c r="J133" s="169">
        <f t="shared" si="35"/>
        <v>466.44163179135222</v>
      </c>
      <c r="K133" s="169">
        <f t="shared" si="35"/>
        <v>229.71885914446017</v>
      </c>
      <c r="L133" s="169">
        <f t="shared" si="35"/>
        <v>920.40282260938625</v>
      </c>
      <c r="M133" s="169">
        <f t="shared" si="35"/>
        <v>690.68396346492614</v>
      </c>
      <c r="N133" s="147"/>
      <c r="O133" s="147"/>
      <c r="P133" s="147"/>
      <c r="Q133" s="147"/>
      <c r="R133" s="147"/>
      <c r="S133" s="20"/>
      <c r="T133" s="186"/>
    </row>
    <row r="134" spans="1:20" s="82" customFormat="1" ht="15" customHeight="1" x14ac:dyDescent="0.2">
      <c r="A134" s="58">
        <v>134</v>
      </c>
      <c r="B134" s="44"/>
      <c r="C134" s="151"/>
      <c r="D134" s="151"/>
      <c r="E134" s="97"/>
      <c r="F134" s="97"/>
      <c r="G134" s="105"/>
      <c r="H134" s="98"/>
      <c r="I134" s="98"/>
      <c r="J134" s="102"/>
      <c r="K134" s="102"/>
      <c r="L134" s="102"/>
      <c r="M134" s="98"/>
      <c r="N134" s="147"/>
      <c r="O134" s="147"/>
      <c r="P134" s="147"/>
      <c r="Q134" s="147"/>
      <c r="R134" s="147"/>
      <c r="S134" s="20"/>
      <c r="T134" s="186"/>
    </row>
    <row r="135" spans="1:20" s="199" customFormat="1" ht="30" customHeight="1" x14ac:dyDescent="0.25">
      <c r="A135" s="58">
        <v>135</v>
      </c>
      <c r="B135" s="88"/>
      <c r="C135" s="102"/>
      <c r="D135" s="102"/>
      <c r="E135" s="102"/>
      <c r="F135" s="102"/>
      <c r="G135" s="201"/>
      <c r="H135" s="202" t="s">
        <v>82</v>
      </c>
      <c r="I135" s="202" t="s">
        <v>161</v>
      </c>
      <c r="J135" s="202" t="s">
        <v>162</v>
      </c>
      <c r="K135" s="202" t="s">
        <v>163</v>
      </c>
      <c r="L135" s="202" t="s">
        <v>164</v>
      </c>
      <c r="M135" s="202" t="s">
        <v>165</v>
      </c>
      <c r="N135" s="27"/>
      <c r="O135" s="147"/>
      <c r="P135" s="147"/>
      <c r="Q135" s="147"/>
      <c r="R135" s="147"/>
      <c r="S135" s="20"/>
      <c r="T135" s="186"/>
    </row>
    <row r="136" spans="1:20" s="199" customFormat="1" ht="15" customHeight="1" x14ac:dyDescent="0.25">
      <c r="A136" s="58">
        <v>136</v>
      </c>
      <c r="B136" s="88"/>
      <c r="C136" s="102"/>
      <c r="D136" s="102"/>
      <c r="E136" s="102"/>
      <c r="F136" s="102"/>
      <c r="G136" s="203" t="str">
        <f>IF(ISNUMBER(CoverSheet!$C$12),"for year ended","")</f>
        <v>for year ended</v>
      </c>
      <c r="H136" s="131">
        <f>IF(ISNUMBER(CoverSheet!$C$12),DATE(YEAR(CoverSheet!$C$12),MONTH(CoverSheet!$C$12),DAY(CoverSheet!$C$12))-1,"")</f>
        <v>44286</v>
      </c>
      <c r="I136" s="131">
        <f>IF(ISNUMBER(CoverSheet!$C$12),DATE(YEAR(CoverSheet!$C$12)+1,MONTH(CoverSheet!$C$12),DAY(CoverSheet!$C$12))-1,"")</f>
        <v>44651</v>
      </c>
      <c r="J136" s="131">
        <f>IF(ISNUMBER(CoverSheet!$C$12),DATE(YEAR(CoverSheet!$C$12)+2,MONTH(CoverSheet!$C$12),DAY(CoverSheet!$C$12))-1,"")</f>
        <v>45016</v>
      </c>
      <c r="K136" s="131">
        <f>IF(ISNUMBER(CoverSheet!$C$12),DATE(YEAR(CoverSheet!$C$12)+3,MONTH(CoverSheet!$C$12),DAY(CoverSheet!$C$12))-1,"")</f>
        <v>45382</v>
      </c>
      <c r="L136" s="131">
        <f>IF(ISNUMBER(CoverSheet!$C$12),DATE(YEAR(CoverSheet!$C$12)+4,MONTH(CoverSheet!$C$12),DAY(CoverSheet!$C$12))-1,"")</f>
        <v>45747</v>
      </c>
      <c r="M136" s="131">
        <f>IF(ISNUMBER(CoverSheet!$C$12),DATE(YEAR(CoverSheet!$C$12)+5,MONTH(CoverSheet!$C$12),DAY(CoverSheet!$C$12))-1,"")</f>
        <v>46112</v>
      </c>
      <c r="N136" s="27"/>
      <c r="O136" s="147"/>
      <c r="P136" s="147"/>
      <c r="Q136" s="147"/>
      <c r="R136" s="147"/>
      <c r="S136" s="20"/>
      <c r="T136" s="186"/>
    </row>
    <row r="137" spans="1:20" s="17" customFormat="1" ht="30" customHeight="1" x14ac:dyDescent="0.3">
      <c r="A137" s="58">
        <v>137</v>
      </c>
      <c r="B137" s="44"/>
      <c r="C137" s="90" t="s">
        <v>149</v>
      </c>
      <c r="D137" s="102"/>
      <c r="E137" s="97"/>
      <c r="F137" s="102"/>
      <c r="G137" s="102"/>
      <c r="H137" s="155"/>
      <c r="I137" s="155"/>
      <c r="J137" s="155"/>
      <c r="K137" s="155"/>
      <c r="L137" s="155"/>
      <c r="M137" s="155"/>
      <c r="N137" s="27"/>
      <c r="O137" s="27"/>
      <c r="P137" s="27"/>
      <c r="Q137" s="27"/>
      <c r="R137" s="27"/>
      <c r="S137" s="20"/>
      <c r="T137" s="186"/>
    </row>
    <row r="138" spans="1:20" s="17" customFormat="1" ht="15" customHeight="1" x14ac:dyDescent="0.2">
      <c r="A138" s="58">
        <v>138</v>
      </c>
      <c r="B138" s="44"/>
      <c r="C138" s="151"/>
      <c r="D138" s="151"/>
      <c r="E138" s="102"/>
      <c r="F138" s="110" t="s">
        <v>215</v>
      </c>
      <c r="G138" s="102"/>
      <c r="H138" s="204" t="s">
        <v>180</v>
      </c>
      <c r="I138" s="102"/>
      <c r="J138" s="102"/>
      <c r="K138" s="102"/>
      <c r="L138" s="102"/>
      <c r="M138" s="102"/>
      <c r="N138" s="147"/>
      <c r="O138" s="147"/>
      <c r="P138" s="147"/>
      <c r="Q138" s="147"/>
      <c r="R138" s="147"/>
      <c r="S138" s="20"/>
      <c r="T138" s="186"/>
    </row>
    <row r="139" spans="1:20" s="17" customFormat="1" ht="15" customHeight="1" x14ac:dyDescent="0.2">
      <c r="A139" s="58">
        <v>139</v>
      </c>
      <c r="B139" s="44"/>
      <c r="C139" s="151"/>
      <c r="D139" s="151"/>
      <c r="E139" s="102"/>
      <c r="F139" s="183"/>
      <c r="G139" s="102"/>
      <c r="H139" s="168"/>
      <c r="I139" s="168"/>
      <c r="J139" s="168"/>
      <c r="K139" s="168"/>
      <c r="L139" s="168"/>
      <c r="M139" s="168"/>
      <c r="N139" s="147"/>
      <c r="O139" s="147"/>
      <c r="P139" s="147"/>
      <c r="Q139" s="147"/>
      <c r="R139" s="147"/>
      <c r="S139" s="20"/>
      <c r="T139" s="186"/>
    </row>
    <row r="140" spans="1:20" s="17" customFormat="1" ht="15" customHeight="1" x14ac:dyDescent="0.2">
      <c r="A140" s="58">
        <v>140</v>
      </c>
      <c r="B140" s="44"/>
      <c r="C140" s="151"/>
      <c r="D140" s="151"/>
      <c r="E140" s="102"/>
      <c r="F140" s="183"/>
      <c r="G140" s="102"/>
      <c r="H140" s="168"/>
      <c r="I140" s="168"/>
      <c r="J140" s="168"/>
      <c r="K140" s="168"/>
      <c r="L140" s="168"/>
      <c r="M140" s="168"/>
      <c r="N140" s="147"/>
      <c r="O140" s="147"/>
      <c r="P140" s="147"/>
      <c r="Q140" s="147"/>
      <c r="R140" s="147"/>
      <c r="S140" s="20"/>
      <c r="T140" s="186"/>
    </row>
    <row r="141" spans="1:20" s="17" customFormat="1" ht="15" customHeight="1" x14ac:dyDescent="0.2">
      <c r="A141" s="58">
        <v>141</v>
      </c>
      <c r="B141" s="44"/>
      <c r="C141" s="151"/>
      <c r="D141" s="151"/>
      <c r="E141" s="102"/>
      <c r="F141" s="183"/>
      <c r="G141" s="102"/>
      <c r="H141" s="168"/>
      <c r="I141" s="168"/>
      <c r="J141" s="168"/>
      <c r="K141" s="168"/>
      <c r="L141" s="168"/>
      <c r="M141" s="168"/>
      <c r="N141" s="147"/>
      <c r="O141" s="147"/>
      <c r="P141" s="147"/>
      <c r="Q141" s="147"/>
      <c r="R141" s="147"/>
      <c r="S141" s="20"/>
      <c r="T141" s="186"/>
    </row>
    <row r="142" spans="1:20" s="17" customFormat="1" ht="15" customHeight="1" x14ac:dyDescent="0.2">
      <c r="A142" s="58">
        <v>142</v>
      </c>
      <c r="B142" s="44"/>
      <c r="C142" s="151"/>
      <c r="D142" s="151"/>
      <c r="E142" s="102"/>
      <c r="F142" s="183"/>
      <c r="G142" s="102"/>
      <c r="H142" s="168"/>
      <c r="I142" s="168"/>
      <c r="J142" s="168"/>
      <c r="K142" s="168"/>
      <c r="L142" s="168"/>
      <c r="M142" s="168"/>
      <c r="N142" s="147"/>
      <c r="O142" s="147"/>
      <c r="P142" s="147"/>
      <c r="Q142" s="147"/>
      <c r="R142" s="147"/>
      <c r="S142" s="20"/>
      <c r="T142" s="186"/>
    </row>
    <row r="143" spans="1:20" s="17" customFormat="1" ht="15" customHeight="1" x14ac:dyDescent="0.2">
      <c r="A143" s="58">
        <v>143</v>
      </c>
      <c r="B143" s="44"/>
      <c r="C143" s="151"/>
      <c r="D143" s="151"/>
      <c r="E143" s="102"/>
      <c r="F143" s="183"/>
      <c r="G143" s="102"/>
      <c r="H143" s="168"/>
      <c r="I143" s="168"/>
      <c r="J143" s="168"/>
      <c r="K143" s="168"/>
      <c r="L143" s="168"/>
      <c r="M143" s="168"/>
      <c r="N143" s="147"/>
      <c r="O143" s="147"/>
      <c r="P143" s="147"/>
      <c r="Q143" s="147"/>
      <c r="R143" s="147"/>
      <c r="S143" s="20"/>
      <c r="T143" s="186"/>
    </row>
    <row r="144" spans="1:20" s="14" customFormat="1" ht="15" customHeight="1" x14ac:dyDescent="0.2">
      <c r="A144" s="58">
        <v>144</v>
      </c>
      <c r="B144" s="44"/>
      <c r="C144" s="151"/>
      <c r="D144" s="151"/>
      <c r="E144" s="105"/>
      <c r="F144" s="87" t="s">
        <v>92</v>
      </c>
      <c r="G144" s="105"/>
      <c r="H144" s="117"/>
      <c r="I144" s="117"/>
      <c r="J144" s="115"/>
      <c r="K144" s="115"/>
      <c r="L144" s="115"/>
      <c r="M144" s="117"/>
      <c r="N144" s="147"/>
      <c r="O144" s="150"/>
      <c r="P144" s="150"/>
      <c r="Q144" s="147"/>
      <c r="R144" s="147"/>
      <c r="S144" s="20"/>
      <c r="T144" s="186"/>
    </row>
    <row r="145" spans="1:20" s="17" customFormat="1" ht="15" customHeight="1" thickBot="1" x14ac:dyDescent="0.25">
      <c r="A145" s="58">
        <v>145</v>
      </c>
      <c r="B145" s="44"/>
      <c r="C145" s="151"/>
      <c r="D145" s="151"/>
      <c r="E145" s="102"/>
      <c r="F145" s="196" t="s">
        <v>277</v>
      </c>
      <c r="G145" s="102"/>
      <c r="H145" s="168"/>
      <c r="I145" s="168"/>
      <c r="J145" s="168"/>
      <c r="K145" s="168"/>
      <c r="L145" s="168"/>
      <c r="M145" s="168"/>
      <c r="N145" s="147"/>
      <c r="O145" s="147"/>
      <c r="P145" s="147"/>
      <c r="Q145" s="147"/>
      <c r="R145" s="147"/>
      <c r="S145" s="20"/>
      <c r="T145" s="186"/>
    </row>
    <row r="146" spans="1:20" s="17" customFormat="1" ht="15" customHeight="1" thickBot="1" x14ac:dyDescent="0.25">
      <c r="A146" s="58">
        <v>146</v>
      </c>
      <c r="B146" s="44"/>
      <c r="C146" s="151"/>
      <c r="D146" s="101"/>
      <c r="E146" s="97" t="s">
        <v>226</v>
      </c>
      <c r="F146" s="151"/>
      <c r="G146" s="102"/>
      <c r="H146" s="169">
        <f t="shared" ref="H146:M146" si="36">SUM(H139:H143,H145)</f>
        <v>0</v>
      </c>
      <c r="I146" s="169">
        <f t="shared" si="36"/>
        <v>0</v>
      </c>
      <c r="J146" s="169">
        <f t="shared" si="36"/>
        <v>0</v>
      </c>
      <c r="K146" s="169">
        <f t="shared" si="36"/>
        <v>0</v>
      </c>
      <c r="L146" s="169">
        <f t="shared" si="36"/>
        <v>0</v>
      </c>
      <c r="M146" s="169">
        <f t="shared" si="36"/>
        <v>0</v>
      </c>
      <c r="N146" s="147"/>
      <c r="O146" s="147"/>
      <c r="P146" s="147"/>
      <c r="Q146" s="147"/>
      <c r="R146" s="147"/>
      <c r="S146" s="20"/>
      <c r="T146" s="186" t="s">
        <v>253</v>
      </c>
    </row>
    <row r="147" spans="1:20" s="61" customFormat="1" ht="15" customHeight="1" thickBot="1" x14ac:dyDescent="0.25">
      <c r="A147" s="58">
        <v>147</v>
      </c>
      <c r="B147" s="44"/>
      <c r="C147" s="151"/>
      <c r="D147" s="101" t="s">
        <v>4</v>
      </c>
      <c r="E147" s="102"/>
      <c r="F147" s="151" t="s">
        <v>196</v>
      </c>
      <c r="G147" s="102"/>
      <c r="H147" s="168"/>
      <c r="I147" s="168"/>
      <c r="J147" s="168"/>
      <c r="K147" s="168"/>
      <c r="L147" s="168"/>
      <c r="M147" s="168"/>
      <c r="N147" s="147"/>
      <c r="O147" s="147"/>
      <c r="P147" s="147"/>
      <c r="Q147" s="147"/>
      <c r="R147" s="147"/>
      <c r="S147" s="20"/>
      <c r="T147" s="186"/>
    </row>
    <row r="148" spans="1:20" s="61" customFormat="1" ht="15" customHeight="1" thickBot="1" x14ac:dyDescent="0.25">
      <c r="A148" s="58">
        <v>148</v>
      </c>
      <c r="B148" s="44"/>
      <c r="C148" s="151"/>
      <c r="D148" s="151"/>
      <c r="E148" s="97" t="s">
        <v>189</v>
      </c>
      <c r="F148" s="97"/>
      <c r="G148" s="102"/>
      <c r="H148" s="169">
        <f t="shared" ref="H148:M148" si="37">H146-H147</f>
        <v>0</v>
      </c>
      <c r="I148" s="169">
        <f t="shared" si="37"/>
        <v>0</v>
      </c>
      <c r="J148" s="169">
        <f t="shared" si="37"/>
        <v>0</v>
      </c>
      <c r="K148" s="169">
        <f t="shared" si="37"/>
        <v>0</v>
      </c>
      <c r="L148" s="169">
        <f t="shared" si="37"/>
        <v>0</v>
      </c>
      <c r="M148" s="169">
        <f t="shared" si="37"/>
        <v>0</v>
      </c>
      <c r="N148" s="147"/>
      <c r="O148" s="147"/>
      <c r="P148" s="147"/>
      <c r="Q148" s="147"/>
      <c r="R148" s="147"/>
      <c r="S148" s="20"/>
      <c r="T148" s="186"/>
    </row>
    <row r="149" spans="1:20" s="82" customFormat="1" ht="15" customHeight="1" x14ac:dyDescent="0.2">
      <c r="A149" s="58">
        <v>149</v>
      </c>
      <c r="B149" s="44"/>
      <c r="C149" s="151"/>
      <c r="D149" s="151"/>
      <c r="E149" s="97"/>
      <c r="F149" s="97"/>
      <c r="G149" s="102"/>
      <c r="H149" s="126"/>
      <c r="I149" s="126"/>
      <c r="J149" s="126"/>
      <c r="K149" s="126"/>
      <c r="L149" s="126"/>
      <c r="M149" s="126"/>
      <c r="N149" s="147"/>
      <c r="O149" s="147"/>
      <c r="P149" s="147"/>
      <c r="Q149" s="147"/>
      <c r="R149" s="147"/>
      <c r="S149" s="20"/>
      <c r="T149" s="186"/>
    </row>
    <row r="150" spans="1:20" s="82" customFormat="1" ht="18.75" customHeight="1" x14ac:dyDescent="0.25">
      <c r="A150" s="58">
        <v>150</v>
      </c>
      <c r="B150" s="88"/>
      <c r="C150" s="102"/>
      <c r="D150" s="102"/>
      <c r="E150" s="102"/>
      <c r="F150" s="102"/>
      <c r="G150" s="102"/>
      <c r="H150" s="158" t="s">
        <v>82</v>
      </c>
      <c r="I150" s="158" t="s">
        <v>161</v>
      </c>
      <c r="J150" s="158" t="s">
        <v>162</v>
      </c>
      <c r="K150" s="158" t="s">
        <v>163</v>
      </c>
      <c r="L150" s="158" t="s">
        <v>164</v>
      </c>
      <c r="M150" s="158" t="s">
        <v>165</v>
      </c>
      <c r="N150" s="27"/>
      <c r="O150" s="147"/>
      <c r="P150" s="147"/>
      <c r="Q150" s="147"/>
      <c r="R150" s="147"/>
      <c r="S150" s="20"/>
      <c r="T150" s="186"/>
    </row>
    <row r="151" spans="1:20" s="17" customFormat="1" ht="30" customHeight="1" x14ac:dyDescent="0.3">
      <c r="A151" s="58">
        <v>151</v>
      </c>
      <c r="B151" s="44"/>
      <c r="C151" s="90" t="s">
        <v>150</v>
      </c>
      <c r="D151" s="102"/>
      <c r="E151" s="97"/>
      <c r="F151" s="102"/>
      <c r="G151" s="190" t="str">
        <f>IF(ISNUMBER(CoverSheet!$C$12),"for year ended","")</f>
        <v>for year ended</v>
      </c>
      <c r="H151" s="156">
        <f>IF(ISNUMBER(CoverSheet!$C$12),DATE(YEAR(CoverSheet!$C$12),MONTH(CoverSheet!$C$12),DAY(CoverSheet!$C$12))-1,"")</f>
        <v>44286</v>
      </c>
      <c r="I151" s="156">
        <f>IF(ISNUMBER(CoverSheet!$C$12),DATE(YEAR(CoverSheet!$C$12)+1,MONTH(CoverSheet!$C$12),DAY(CoverSheet!$C$12))-1,"")</f>
        <v>44651</v>
      </c>
      <c r="J151" s="156">
        <f>IF(ISNUMBER(CoverSheet!$C$12),DATE(YEAR(CoverSheet!$C$12)+2,MONTH(CoverSheet!$C$12),DAY(CoverSheet!$C$12))-1,"")</f>
        <v>45016</v>
      </c>
      <c r="K151" s="156">
        <f>IF(ISNUMBER(CoverSheet!$C$12),DATE(YEAR(CoverSheet!$C$12)+3,MONTH(CoverSheet!$C$12),DAY(CoverSheet!$C$12))-1,"")</f>
        <v>45382</v>
      </c>
      <c r="L151" s="156">
        <f>IF(ISNUMBER(CoverSheet!$C$12),DATE(YEAR(CoverSheet!$C$12)+4,MONTH(CoverSheet!$C$12),DAY(CoverSheet!$C$12))-1,"")</f>
        <v>45747</v>
      </c>
      <c r="M151" s="156">
        <f>IF(ISNUMBER(CoverSheet!$C$12),DATE(YEAR(CoverSheet!$C$12)+5,MONTH(CoverSheet!$C$12),DAY(CoverSheet!$C$12))-1,"")</f>
        <v>46112</v>
      </c>
      <c r="N151" s="27"/>
      <c r="O151" s="27"/>
      <c r="P151" s="27"/>
      <c r="Q151" s="27"/>
      <c r="R151" s="27"/>
      <c r="S151" s="20"/>
      <c r="T151" s="186"/>
    </row>
    <row r="152" spans="1:20" s="17" customFormat="1" ht="15" customHeight="1" x14ac:dyDescent="0.2">
      <c r="A152" s="58">
        <v>152</v>
      </c>
      <c r="B152" s="44"/>
      <c r="C152" s="151"/>
      <c r="D152" s="151"/>
      <c r="E152" s="102"/>
      <c r="F152" s="110" t="s">
        <v>215</v>
      </c>
      <c r="G152" s="102"/>
      <c r="H152" s="132" t="s">
        <v>180</v>
      </c>
      <c r="I152" s="102"/>
      <c r="J152" s="102"/>
      <c r="K152" s="102"/>
      <c r="L152" s="102"/>
      <c r="M152" s="102"/>
      <c r="N152" s="147"/>
      <c r="O152" s="147"/>
      <c r="P152" s="147"/>
      <c r="Q152" s="147"/>
      <c r="R152" s="147"/>
      <c r="S152" s="20"/>
      <c r="T152" s="186"/>
    </row>
    <row r="153" spans="1:20" s="17" customFormat="1" ht="15" customHeight="1" x14ac:dyDescent="0.2">
      <c r="A153" s="58">
        <v>153</v>
      </c>
      <c r="B153" s="44"/>
      <c r="C153" s="151"/>
      <c r="D153" s="151"/>
      <c r="E153" s="102"/>
      <c r="F153" s="183"/>
      <c r="G153" s="102"/>
      <c r="H153" s="168"/>
      <c r="I153" s="168"/>
      <c r="J153" s="168"/>
      <c r="K153" s="168"/>
      <c r="L153" s="168"/>
      <c r="M153" s="168"/>
      <c r="N153" s="147"/>
      <c r="O153" s="147"/>
      <c r="P153" s="147"/>
      <c r="Q153" s="147"/>
      <c r="R153" s="147"/>
      <c r="S153" s="20"/>
      <c r="T153" s="186"/>
    </row>
    <row r="154" spans="1:20" s="17" customFormat="1" ht="15" customHeight="1" x14ac:dyDescent="0.2">
      <c r="A154" s="58">
        <v>154</v>
      </c>
      <c r="B154" s="44"/>
      <c r="C154" s="151"/>
      <c r="D154" s="151"/>
      <c r="E154" s="102"/>
      <c r="F154" s="183"/>
      <c r="G154" s="102"/>
      <c r="H154" s="168"/>
      <c r="I154" s="168"/>
      <c r="J154" s="168"/>
      <c r="K154" s="168"/>
      <c r="L154" s="168"/>
      <c r="M154" s="168"/>
      <c r="N154" s="147"/>
      <c r="O154" s="147"/>
      <c r="P154" s="147"/>
      <c r="Q154" s="147"/>
      <c r="R154" s="147"/>
      <c r="S154" s="20"/>
      <c r="T154" s="186"/>
    </row>
    <row r="155" spans="1:20" s="17" customFormat="1" ht="15" customHeight="1" x14ac:dyDescent="0.2">
      <c r="A155" s="58">
        <v>155</v>
      </c>
      <c r="B155" s="44"/>
      <c r="C155" s="151"/>
      <c r="D155" s="151"/>
      <c r="E155" s="102"/>
      <c r="F155" s="183"/>
      <c r="G155" s="102"/>
      <c r="H155" s="168"/>
      <c r="I155" s="168"/>
      <c r="J155" s="168"/>
      <c r="K155" s="168"/>
      <c r="L155" s="168"/>
      <c r="M155" s="168"/>
      <c r="N155" s="147"/>
      <c r="O155" s="147"/>
      <c r="P155" s="147"/>
      <c r="Q155" s="147"/>
      <c r="R155" s="147"/>
      <c r="S155" s="20"/>
      <c r="T155" s="186"/>
    </row>
    <row r="156" spans="1:20" s="17" customFormat="1" ht="15" customHeight="1" x14ac:dyDescent="0.2">
      <c r="A156" s="58">
        <v>156</v>
      </c>
      <c r="B156" s="44"/>
      <c r="C156" s="151"/>
      <c r="D156" s="151"/>
      <c r="E156" s="102"/>
      <c r="F156" s="183"/>
      <c r="G156" s="102"/>
      <c r="H156" s="168"/>
      <c r="I156" s="168"/>
      <c r="J156" s="168"/>
      <c r="K156" s="168"/>
      <c r="L156" s="168"/>
      <c r="M156" s="168"/>
      <c r="N156" s="147"/>
      <c r="O156" s="147"/>
      <c r="P156" s="147"/>
      <c r="Q156" s="147"/>
      <c r="R156" s="147"/>
      <c r="S156" s="20"/>
      <c r="T156" s="186"/>
    </row>
    <row r="157" spans="1:20" s="17" customFormat="1" ht="15" customHeight="1" x14ac:dyDescent="0.2">
      <c r="A157" s="58">
        <v>157</v>
      </c>
      <c r="B157" s="44"/>
      <c r="C157" s="151"/>
      <c r="D157" s="151"/>
      <c r="E157" s="102"/>
      <c r="F157" s="183"/>
      <c r="G157" s="102"/>
      <c r="H157" s="168"/>
      <c r="I157" s="168"/>
      <c r="J157" s="168"/>
      <c r="K157" s="168"/>
      <c r="L157" s="168"/>
      <c r="M157" s="168"/>
      <c r="N157" s="147"/>
      <c r="O157" s="147"/>
      <c r="P157" s="147"/>
      <c r="Q157" s="147"/>
      <c r="R157" s="147"/>
      <c r="S157" s="20"/>
      <c r="T157" s="186"/>
    </row>
    <row r="158" spans="1:20" s="14" customFormat="1" ht="15" customHeight="1" x14ac:dyDescent="0.2">
      <c r="A158" s="58">
        <v>158</v>
      </c>
      <c r="B158" s="44"/>
      <c r="C158" s="151"/>
      <c r="D158" s="151"/>
      <c r="E158" s="105"/>
      <c r="F158" s="87" t="s">
        <v>92</v>
      </c>
      <c r="G158" s="105"/>
      <c r="H158" s="117"/>
      <c r="I158" s="117"/>
      <c r="J158" s="115"/>
      <c r="K158" s="115"/>
      <c r="L158" s="115"/>
      <c r="M158" s="117"/>
      <c r="N158" s="147"/>
      <c r="O158" s="150"/>
      <c r="P158" s="150"/>
      <c r="Q158" s="147"/>
      <c r="R158" s="147"/>
      <c r="S158" s="20"/>
      <c r="T158" s="186"/>
    </row>
    <row r="159" spans="1:20" s="17" customFormat="1" ht="15" customHeight="1" thickBot="1" x14ac:dyDescent="0.25">
      <c r="A159" s="58">
        <v>159</v>
      </c>
      <c r="B159" s="44"/>
      <c r="C159" s="151"/>
      <c r="D159" s="151"/>
      <c r="E159" s="102"/>
      <c r="F159" s="196" t="s">
        <v>278</v>
      </c>
      <c r="G159" s="105"/>
      <c r="H159" s="168"/>
      <c r="I159" s="168"/>
      <c r="J159" s="168"/>
      <c r="K159" s="168"/>
      <c r="L159" s="168"/>
      <c r="M159" s="168"/>
      <c r="N159" s="147"/>
      <c r="O159" s="147"/>
      <c r="P159" s="147"/>
      <c r="Q159" s="147"/>
      <c r="R159" s="147"/>
      <c r="S159" s="20"/>
      <c r="T159" s="186"/>
    </row>
    <row r="160" spans="1:20" s="17" customFormat="1" ht="15" customHeight="1" thickBot="1" x14ac:dyDescent="0.25">
      <c r="A160" s="58">
        <v>160</v>
      </c>
      <c r="B160" s="44"/>
      <c r="C160" s="151"/>
      <c r="D160" s="101"/>
      <c r="E160" s="97" t="s">
        <v>227</v>
      </c>
      <c r="F160" s="151"/>
      <c r="G160" s="102"/>
      <c r="H160" s="169">
        <f t="shared" ref="H160:M160" si="38">SUM(H153:H157,H159)</f>
        <v>0</v>
      </c>
      <c r="I160" s="169">
        <f t="shared" si="38"/>
        <v>0</v>
      </c>
      <c r="J160" s="169">
        <f t="shared" si="38"/>
        <v>0</v>
      </c>
      <c r="K160" s="169">
        <f t="shared" si="38"/>
        <v>0</v>
      </c>
      <c r="L160" s="169">
        <f t="shared" si="38"/>
        <v>0</v>
      </c>
      <c r="M160" s="169">
        <f t="shared" si="38"/>
        <v>0</v>
      </c>
      <c r="N160" s="147"/>
      <c r="O160" s="147"/>
      <c r="P160" s="147"/>
      <c r="Q160" s="147"/>
      <c r="R160" s="147"/>
      <c r="S160" s="20"/>
      <c r="T160" s="186" t="s">
        <v>254</v>
      </c>
    </row>
    <row r="161" spans="1:20" s="61" customFormat="1" ht="15" customHeight="1" thickBot="1" x14ac:dyDescent="0.25">
      <c r="A161" s="58">
        <v>161</v>
      </c>
      <c r="B161" s="44"/>
      <c r="C161" s="151"/>
      <c r="D161" s="101" t="s">
        <v>4</v>
      </c>
      <c r="E161" s="102"/>
      <c r="F161" s="151" t="s">
        <v>187</v>
      </c>
      <c r="G161" s="102"/>
      <c r="H161" s="168"/>
      <c r="I161" s="168"/>
      <c r="J161" s="168"/>
      <c r="K161" s="168"/>
      <c r="L161" s="168"/>
      <c r="M161" s="168"/>
      <c r="N161" s="147"/>
      <c r="O161" s="147"/>
      <c r="P161" s="147"/>
      <c r="Q161" s="147"/>
      <c r="R161" s="147"/>
      <c r="S161" s="20"/>
      <c r="T161" s="186"/>
    </row>
    <row r="162" spans="1:20" s="61" customFormat="1" ht="15" customHeight="1" thickBot="1" x14ac:dyDescent="0.25">
      <c r="A162" s="58">
        <v>162</v>
      </c>
      <c r="B162" s="44"/>
      <c r="C162" s="151"/>
      <c r="D162" s="151"/>
      <c r="E162" s="97" t="s">
        <v>190</v>
      </c>
      <c r="F162" s="97"/>
      <c r="G162" s="102"/>
      <c r="H162" s="169">
        <f t="shared" ref="H162:M162" si="39">H160-H161</f>
        <v>0</v>
      </c>
      <c r="I162" s="169">
        <f t="shared" si="39"/>
        <v>0</v>
      </c>
      <c r="J162" s="169">
        <f t="shared" si="39"/>
        <v>0</v>
      </c>
      <c r="K162" s="169">
        <f t="shared" si="39"/>
        <v>0</v>
      </c>
      <c r="L162" s="169">
        <f t="shared" si="39"/>
        <v>0</v>
      </c>
      <c r="M162" s="169">
        <f t="shared" si="39"/>
        <v>0</v>
      </c>
      <c r="N162" s="147"/>
      <c r="O162" s="147"/>
      <c r="P162" s="147"/>
      <c r="Q162" s="147"/>
      <c r="R162" s="147"/>
      <c r="S162" s="20"/>
      <c r="T162" s="186"/>
    </row>
    <row r="163" spans="1:20" s="9" customFormat="1" x14ac:dyDescent="0.2">
      <c r="A163" s="58">
        <v>163</v>
      </c>
      <c r="B163" s="44"/>
      <c r="C163" s="151"/>
      <c r="D163" s="151"/>
      <c r="E163" s="102"/>
      <c r="F163" s="102"/>
      <c r="G163" s="102"/>
      <c r="H163" s="102"/>
      <c r="I163" s="102"/>
      <c r="J163" s="102"/>
      <c r="K163" s="102"/>
      <c r="L163" s="102"/>
      <c r="M163" s="102"/>
      <c r="N163" s="147"/>
      <c r="O163" s="147"/>
      <c r="P163" s="147"/>
      <c r="Q163" s="147"/>
      <c r="R163" s="147"/>
      <c r="S163" s="20"/>
      <c r="T163" s="186"/>
    </row>
    <row r="164" spans="1:20" s="199" customFormat="1" ht="30" customHeight="1" x14ac:dyDescent="0.25">
      <c r="A164" s="58">
        <v>164</v>
      </c>
      <c r="B164" s="88"/>
      <c r="C164" s="102"/>
      <c r="D164" s="102"/>
      <c r="E164" s="102"/>
      <c r="F164" s="102"/>
      <c r="G164" s="201"/>
      <c r="H164" s="202" t="s">
        <v>82</v>
      </c>
      <c r="I164" s="202" t="s">
        <v>161</v>
      </c>
      <c r="J164" s="202" t="s">
        <v>162</v>
      </c>
      <c r="K164" s="202" t="s">
        <v>163</v>
      </c>
      <c r="L164" s="202" t="s">
        <v>164</v>
      </c>
      <c r="M164" s="202" t="s">
        <v>165</v>
      </c>
      <c r="N164" s="27"/>
      <c r="O164" s="147"/>
      <c r="P164" s="147"/>
      <c r="Q164" s="147"/>
      <c r="R164" s="147"/>
      <c r="S164" s="20"/>
      <c r="T164" s="186"/>
    </row>
    <row r="165" spans="1:20" s="199" customFormat="1" ht="15" customHeight="1" x14ac:dyDescent="0.25">
      <c r="A165" s="58">
        <v>165</v>
      </c>
      <c r="B165" s="88"/>
      <c r="C165" s="102"/>
      <c r="D165" s="102"/>
      <c r="E165" s="102"/>
      <c r="F165" s="102"/>
      <c r="G165" s="203" t="str">
        <f>IF(ISNUMBER(CoverSheet!$C$12),"for year ended","")</f>
        <v>for year ended</v>
      </c>
      <c r="H165" s="131">
        <f>IF(ISNUMBER(CoverSheet!$C$12),DATE(YEAR(CoverSheet!$C$12),MONTH(CoverSheet!$C$12),DAY(CoverSheet!$C$12))-1,"")</f>
        <v>44286</v>
      </c>
      <c r="I165" s="131">
        <f>IF(ISNUMBER(CoverSheet!$C$12),DATE(YEAR(CoverSheet!$C$12)+1,MONTH(CoverSheet!$C$12),DAY(CoverSheet!$C$12))-1,"")</f>
        <v>44651</v>
      </c>
      <c r="J165" s="131">
        <f>IF(ISNUMBER(CoverSheet!$C$12),DATE(YEAR(CoverSheet!$C$12)+2,MONTH(CoverSheet!$C$12),DAY(CoverSheet!$C$12))-1,"")</f>
        <v>45016</v>
      </c>
      <c r="K165" s="131">
        <f>IF(ISNUMBER(CoverSheet!$C$12),DATE(YEAR(CoverSheet!$C$12)+3,MONTH(CoverSheet!$C$12),DAY(CoverSheet!$C$12))-1,"")</f>
        <v>45382</v>
      </c>
      <c r="L165" s="131">
        <f>IF(ISNUMBER(CoverSheet!$C$12),DATE(YEAR(CoverSheet!$C$12)+4,MONTH(CoverSheet!$C$12),DAY(CoverSheet!$C$12))-1,"")</f>
        <v>45747</v>
      </c>
      <c r="M165" s="131">
        <f>IF(ISNUMBER(CoverSheet!$C$12),DATE(YEAR(CoverSheet!$C$12)+5,MONTH(CoverSheet!$C$12),DAY(CoverSheet!$C$12))-1,"")</f>
        <v>46112</v>
      </c>
      <c r="N165" s="27"/>
      <c r="O165" s="147"/>
      <c r="P165" s="147"/>
      <c r="Q165" s="147"/>
      <c r="R165" s="147"/>
      <c r="S165" s="20"/>
      <c r="T165" s="186"/>
    </row>
    <row r="166" spans="1:20" s="17" customFormat="1" ht="24" customHeight="1" x14ac:dyDescent="0.3">
      <c r="A166" s="58">
        <v>166</v>
      </c>
      <c r="B166" s="44"/>
      <c r="C166" s="90" t="s">
        <v>160</v>
      </c>
      <c r="D166" s="102"/>
      <c r="E166" s="102"/>
      <c r="F166" s="102"/>
      <c r="G166" s="102"/>
      <c r="H166" s="159"/>
      <c r="I166" s="122"/>
      <c r="J166" s="122"/>
      <c r="K166" s="122"/>
      <c r="L166" s="122"/>
      <c r="M166" s="122"/>
      <c r="N166" s="27"/>
      <c r="O166" s="27"/>
      <c r="P166" s="27"/>
      <c r="Q166" s="27"/>
      <c r="R166" s="27"/>
      <c r="S166" s="20"/>
      <c r="T166" s="186"/>
    </row>
    <row r="167" spans="1:20" ht="15" customHeight="1" x14ac:dyDescent="0.2">
      <c r="A167" s="58">
        <v>167</v>
      </c>
      <c r="B167" s="44"/>
      <c r="C167" s="151"/>
      <c r="D167" s="153" t="s">
        <v>58</v>
      </c>
      <c r="E167" s="151"/>
      <c r="F167" s="102"/>
      <c r="G167" s="189"/>
      <c r="H167" s="131"/>
      <c r="I167" s="131"/>
      <c r="J167" s="131"/>
      <c r="K167" s="131"/>
      <c r="L167" s="131"/>
      <c r="M167" s="131"/>
      <c r="N167" s="147"/>
      <c r="O167" s="147"/>
      <c r="P167" s="147"/>
      <c r="Q167" s="147"/>
      <c r="R167" s="147"/>
      <c r="S167" s="20"/>
      <c r="T167" s="186"/>
    </row>
    <row r="168" spans="1:20" s="17" customFormat="1" ht="15" customHeight="1" x14ac:dyDescent="0.2">
      <c r="A168" s="58">
        <v>168</v>
      </c>
      <c r="B168" s="44"/>
      <c r="C168" s="151"/>
      <c r="D168" s="151"/>
      <c r="E168" s="102"/>
      <c r="F168" s="110" t="s">
        <v>215</v>
      </c>
      <c r="G168" s="189"/>
      <c r="H168" s="204" t="s">
        <v>180</v>
      </c>
      <c r="I168" s="102"/>
      <c r="J168" s="102"/>
      <c r="K168" s="102"/>
      <c r="L168" s="102"/>
      <c r="M168" s="154"/>
      <c r="N168" s="147"/>
      <c r="O168" s="147"/>
      <c r="P168" s="147"/>
      <c r="Q168" s="147"/>
      <c r="R168" s="147"/>
      <c r="S168" s="20"/>
      <c r="T168" s="186"/>
    </row>
    <row r="169" spans="1:20" s="17" customFormat="1" ht="15" customHeight="1" x14ac:dyDescent="0.2">
      <c r="A169" s="58">
        <v>169</v>
      </c>
      <c r="B169" s="44"/>
      <c r="C169" s="151"/>
      <c r="D169" s="151"/>
      <c r="E169" s="102"/>
      <c r="F169" s="183" t="s">
        <v>318</v>
      </c>
      <c r="G169" s="102"/>
      <c r="H169" s="168">
        <v>3490</v>
      </c>
      <c r="I169" s="168">
        <v>5933.6556036997354</v>
      </c>
      <c r="J169" s="168">
        <v>2985.9483952497421</v>
      </c>
      <c r="K169" s="168">
        <v>2821.1277616482957</v>
      </c>
      <c r="L169" s="168">
        <v>2305.5156102585152</v>
      </c>
      <c r="M169" s="168">
        <v>2127.4512000162922</v>
      </c>
      <c r="N169" s="147"/>
      <c r="O169" s="147"/>
      <c r="P169" s="147"/>
      <c r="Q169" s="147"/>
      <c r="R169" s="147"/>
      <c r="S169" s="20"/>
      <c r="T169" s="186"/>
    </row>
    <row r="170" spans="1:20" s="17" customFormat="1" ht="15" customHeight="1" x14ac:dyDescent="0.2">
      <c r="A170" s="58">
        <v>170</v>
      </c>
      <c r="B170" s="44"/>
      <c r="C170" s="151"/>
      <c r="D170" s="151"/>
      <c r="E170" s="102"/>
      <c r="F170" s="183"/>
      <c r="G170" s="102"/>
      <c r="H170" s="168"/>
      <c r="I170" s="168"/>
      <c r="J170" s="168"/>
      <c r="K170" s="168"/>
      <c r="L170" s="168"/>
      <c r="M170" s="168"/>
      <c r="N170" s="147"/>
      <c r="O170" s="147"/>
      <c r="P170" s="147"/>
      <c r="Q170" s="147"/>
      <c r="R170" s="147"/>
      <c r="S170" s="20"/>
      <c r="T170" s="186"/>
    </row>
    <row r="171" spans="1:20" s="17" customFormat="1" ht="15" customHeight="1" x14ac:dyDescent="0.2">
      <c r="A171" s="58">
        <v>171</v>
      </c>
      <c r="B171" s="44"/>
      <c r="C171" s="151"/>
      <c r="D171" s="151"/>
      <c r="E171" s="102"/>
      <c r="F171" s="183"/>
      <c r="G171" s="102"/>
      <c r="H171" s="168"/>
      <c r="I171" s="168"/>
      <c r="J171" s="168"/>
      <c r="K171" s="168"/>
      <c r="L171" s="168"/>
      <c r="M171" s="168"/>
      <c r="N171" s="147"/>
      <c r="O171" s="147"/>
      <c r="P171" s="147"/>
      <c r="Q171" s="147"/>
      <c r="R171" s="147"/>
      <c r="S171" s="20"/>
      <c r="T171" s="186"/>
    </row>
    <row r="172" spans="1:20" s="17" customFormat="1" ht="15" customHeight="1" x14ac:dyDescent="0.2">
      <c r="A172" s="58">
        <v>172</v>
      </c>
      <c r="B172" s="44"/>
      <c r="C172" s="151"/>
      <c r="D172" s="151"/>
      <c r="E172" s="102"/>
      <c r="F172" s="183"/>
      <c r="G172" s="102"/>
      <c r="H172" s="168"/>
      <c r="I172" s="168"/>
      <c r="J172" s="168"/>
      <c r="K172" s="168"/>
      <c r="L172" s="168"/>
      <c r="M172" s="168"/>
      <c r="N172" s="147"/>
      <c r="O172" s="147"/>
      <c r="P172" s="147"/>
      <c r="Q172" s="147"/>
      <c r="R172" s="147"/>
      <c r="S172" s="20"/>
      <c r="T172" s="186"/>
    </row>
    <row r="173" spans="1:20" s="17" customFormat="1" ht="15" customHeight="1" x14ac:dyDescent="0.2">
      <c r="A173" s="58">
        <v>173</v>
      </c>
      <c r="B173" s="44"/>
      <c r="C173" s="151"/>
      <c r="D173" s="151"/>
      <c r="E173" s="102"/>
      <c r="F173" s="183"/>
      <c r="G173" s="102"/>
      <c r="H173" s="168"/>
      <c r="I173" s="168"/>
      <c r="J173" s="168"/>
      <c r="K173" s="168"/>
      <c r="L173" s="168"/>
      <c r="M173" s="168"/>
      <c r="N173" s="147"/>
      <c r="O173" s="147"/>
      <c r="P173" s="147"/>
      <c r="Q173" s="147"/>
      <c r="R173" s="147"/>
      <c r="S173" s="20"/>
      <c r="T173" s="186"/>
    </row>
    <row r="174" spans="1:20" s="14" customFormat="1" ht="15" customHeight="1" x14ac:dyDescent="0.2">
      <c r="A174" s="58">
        <v>174</v>
      </c>
      <c r="B174" s="44"/>
      <c r="C174" s="151"/>
      <c r="D174" s="151"/>
      <c r="E174" s="105"/>
      <c r="F174" s="87" t="s">
        <v>92</v>
      </c>
      <c r="G174" s="105"/>
      <c r="H174" s="117"/>
      <c r="I174" s="117"/>
      <c r="J174" s="115"/>
      <c r="K174" s="115"/>
      <c r="L174" s="115"/>
      <c r="M174" s="117"/>
      <c r="N174" s="147"/>
      <c r="O174" s="150"/>
      <c r="P174" s="150"/>
      <c r="Q174" s="147"/>
      <c r="R174" s="147"/>
      <c r="S174" s="20"/>
      <c r="T174" s="186"/>
    </row>
    <row r="175" spans="1:20" s="17" customFormat="1" ht="15" customHeight="1" thickBot="1" x14ac:dyDescent="0.25">
      <c r="A175" s="58">
        <v>175</v>
      </c>
      <c r="B175" s="44"/>
      <c r="C175" s="151"/>
      <c r="D175" s="151"/>
      <c r="E175" s="102"/>
      <c r="F175" s="196" t="s">
        <v>279</v>
      </c>
      <c r="G175" s="102"/>
      <c r="H175" s="168"/>
      <c r="I175" s="168"/>
      <c r="J175" s="168"/>
      <c r="K175" s="168"/>
      <c r="L175" s="168"/>
      <c r="M175" s="168"/>
      <c r="N175" s="147"/>
      <c r="O175" s="147"/>
      <c r="P175" s="147"/>
      <c r="Q175" s="147"/>
      <c r="R175" s="147"/>
      <c r="S175" s="20"/>
      <c r="T175" s="186"/>
    </row>
    <row r="176" spans="1:20" s="17" customFormat="1" ht="15" customHeight="1" thickBot="1" x14ac:dyDescent="0.25">
      <c r="A176" s="58">
        <v>176</v>
      </c>
      <c r="B176" s="44"/>
      <c r="C176" s="151"/>
      <c r="D176" s="101"/>
      <c r="E176" s="97" t="s">
        <v>58</v>
      </c>
      <c r="F176" s="151"/>
      <c r="G176" s="102"/>
      <c r="H176" s="169">
        <f t="shared" ref="H176:M176" si="40">SUM(H169:H173,H175)</f>
        <v>3490</v>
      </c>
      <c r="I176" s="169">
        <f t="shared" si="40"/>
        <v>5933.6556036997354</v>
      </c>
      <c r="J176" s="169">
        <f t="shared" si="40"/>
        <v>2985.9483952497421</v>
      </c>
      <c r="K176" s="169">
        <f t="shared" si="40"/>
        <v>2821.1277616482957</v>
      </c>
      <c r="L176" s="169">
        <f t="shared" si="40"/>
        <v>2305.5156102585152</v>
      </c>
      <c r="M176" s="169">
        <f t="shared" si="40"/>
        <v>2127.4512000162922</v>
      </c>
      <c r="N176" s="147"/>
      <c r="O176" s="147"/>
      <c r="P176" s="147"/>
      <c r="Q176" s="147"/>
      <c r="R176" s="147"/>
      <c r="S176" s="20"/>
      <c r="T176" s="186"/>
    </row>
    <row r="177" spans="1:20" s="17" customFormat="1" ht="15" customHeight="1" x14ac:dyDescent="0.2">
      <c r="A177" s="58">
        <v>177</v>
      </c>
      <c r="B177" s="44"/>
      <c r="C177" s="151"/>
      <c r="D177" s="153" t="s">
        <v>59</v>
      </c>
      <c r="E177" s="151"/>
      <c r="F177" s="102"/>
      <c r="G177" s="102"/>
      <c r="H177" s="102"/>
      <c r="I177" s="102"/>
      <c r="J177" s="102"/>
      <c r="K177" s="102"/>
      <c r="L177" s="102"/>
      <c r="M177" s="102"/>
      <c r="N177" s="147"/>
      <c r="O177" s="147"/>
      <c r="P177" s="147"/>
      <c r="Q177" s="147"/>
      <c r="R177" s="147"/>
      <c r="S177" s="20"/>
      <c r="T177" s="186"/>
    </row>
    <row r="178" spans="1:20" s="17" customFormat="1" ht="15" customHeight="1" x14ac:dyDescent="0.2">
      <c r="A178" s="58">
        <v>178</v>
      </c>
      <c r="B178" s="44"/>
      <c r="C178" s="151"/>
      <c r="D178" s="151"/>
      <c r="E178" s="102"/>
      <c r="F178" s="110" t="s">
        <v>215</v>
      </c>
      <c r="G178" s="102"/>
      <c r="H178" s="102"/>
      <c r="I178" s="102"/>
      <c r="J178" s="102"/>
      <c r="K178" s="102"/>
      <c r="L178" s="102"/>
      <c r="M178" s="102"/>
      <c r="N178" s="147"/>
      <c r="O178" s="147"/>
      <c r="P178" s="147"/>
      <c r="Q178" s="147"/>
      <c r="R178" s="147"/>
      <c r="S178" s="20"/>
      <c r="T178" s="186"/>
    </row>
    <row r="179" spans="1:20" s="17" customFormat="1" ht="15" customHeight="1" x14ac:dyDescent="0.2">
      <c r="A179" s="58">
        <v>179</v>
      </c>
      <c r="B179" s="44"/>
      <c r="C179" s="151"/>
      <c r="D179" s="151"/>
      <c r="E179" s="102"/>
      <c r="F179" s="183"/>
      <c r="G179" s="102"/>
      <c r="H179" s="168"/>
      <c r="I179" s="168"/>
      <c r="J179" s="168"/>
      <c r="K179" s="168"/>
      <c r="L179" s="168"/>
      <c r="M179" s="168"/>
      <c r="N179" s="147"/>
      <c r="O179" s="147"/>
      <c r="P179" s="147"/>
      <c r="Q179" s="147"/>
      <c r="R179" s="147"/>
      <c r="S179" s="20"/>
      <c r="T179" s="186"/>
    </row>
    <row r="180" spans="1:20" s="17" customFormat="1" ht="15" customHeight="1" x14ac:dyDescent="0.2">
      <c r="A180" s="58">
        <v>180</v>
      </c>
      <c r="B180" s="44"/>
      <c r="C180" s="151"/>
      <c r="D180" s="151"/>
      <c r="E180" s="102"/>
      <c r="F180" s="183"/>
      <c r="G180" s="102"/>
      <c r="H180" s="168"/>
      <c r="I180" s="168"/>
      <c r="J180" s="168"/>
      <c r="K180" s="168"/>
      <c r="L180" s="168"/>
      <c r="M180" s="168"/>
      <c r="N180" s="147"/>
      <c r="O180" s="147"/>
      <c r="P180" s="147"/>
      <c r="Q180" s="147"/>
      <c r="R180" s="147"/>
      <c r="S180" s="20"/>
      <c r="T180" s="186"/>
    </row>
    <row r="181" spans="1:20" s="17" customFormat="1" ht="15" customHeight="1" x14ac:dyDescent="0.2">
      <c r="A181" s="58">
        <v>181</v>
      </c>
      <c r="B181" s="44"/>
      <c r="C181" s="151"/>
      <c r="D181" s="151"/>
      <c r="E181" s="102"/>
      <c r="F181" s="183"/>
      <c r="G181" s="102"/>
      <c r="H181" s="168"/>
      <c r="I181" s="168"/>
      <c r="J181" s="168"/>
      <c r="K181" s="168"/>
      <c r="L181" s="168"/>
      <c r="M181" s="168"/>
      <c r="N181" s="147"/>
      <c r="O181" s="147"/>
      <c r="P181" s="147"/>
      <c r="Q181" s="147"/>
      <c r="R181" s="147"/>
      <c r="S181" s="20"/>
      <c r="T181" s="186"/>
    </row>
    <row r="182" spans="1:20" s="17" customFormat="1" ht="15" customHeight="1" x14ac:dyDescent="0.2">
      <c r="A182" s="58">
        <v>182</v>
      </c>
      <c r="B182" s="44"/>
      <c r="C182" s="151"/>
      <c r="D182" s="151"/>
      <c r="E182" s="102"/>
      <c r="F182" s="183"/>
      <c r="G182" s="102"/>
      <c r="H182" s="168"/>
      <c r="I182" s="168"/>
      <c r="J182" s="168"/>
      <c r="K182" s="168"/>
      <c r="L182" s="168"/>
      <c r="M182" s="168"/>
      <c r="N182" s="147"/>
      <c r="O182" s="147"/>
      <c r="P182" s="147"/>
      <c r="Q182" s="147"/>
      <c r="R182" s="147"/>
      <c r="S182" s="20"/>
      <c r="T182" s="186"/>
    </row>
    <row r="183" spans="1:20" s="17" customFormat="1" ht="15" customHeight="1" x14ac:dyDescent="0.2">
      <c r="A183" s="58">
        <v>183</v>
      </c>
      <c r="B183" s="44"/>
      <c r="C183" s="151"/>
      <c r="D183" s="151"/>
      <c r="E183" s="102"/>
      <c r="F183" s="183"/>
      <c r="G183" s="102"/>
      <c r="H183" s="168"/>
      <c r="I183" s="168"/>
      <c r="J183" s="168"/>
      <c r="K183" s="168"/>
      <c r="L183" s="168"/>
      <c r="M183" s="168"/>
      <c r="N183" s="147"/>
      <c r="O183" s="147"/>
      <c r="P183" s="147"/>
      <c r="Q183" s="147"/>
      <c r="R183" s="147"/>
      <c r="S183" s="20"/>
      <c r="T183" s="186"/>
    </row>
    <row r="184" spans="1:20" s="14" customFormat="1" ht="15" customHeight="1" x14ac:dyDescent="0.2">
      <c r="A184" s="58">
        <v>184</v>
      </c>
      <c r="B184" s="44"/>
      <c r="C184" s="151"/>
      <c r="D184" s="151"/>
      <c r="E184" s="105"/>
      <c r="F184" s="87" t="s">
        <v>92</v>
      </c>
      <c r="G184" s="105"/>
      <c r="H184" s="117"/>
      <c r="I184" s="117"/>
      <c r="J184" s="115"/>
      <c r="K184" s="115"/>
      <c r="L184" s="115"/>
      <c r="M184" s="117"/>
      <c r="N184" s="147"/>
      <c r="O184" s="150"/>
      <c r="P184" s="150"/>
      <c r="Q184" s="147"/>
      <c r="R184" s="147"/>
      <c r="S184" s="20"/>
      <c r="T184" s="186"/>
    </row>
    <row r="185" spans="1:20" s="17" customFormat="1" ht="15" customHeight="1" thickBot="1" x14ac:dyDescent="0.25">
      <c r="A185" s="58">
        <v>185</v>
      </c>
      <c r="B185" s="44"/>
      <c r="C185" s="151"/>
      <c r="D185" s="151"/>
      <c r="E185" s="102"/>
      <c r="F185" s="196" t="s">
        <v>280</v>
      </c>
      <c r="G185" s="102"/>
      <c r="H185" s="168"/>
      <c r="I185" s="168"/>
      <c r="J185" s="168"/>
      <c r="K185" s="168"/>
      <c r="L185" s="168"/>
      <c r="M185" s="168"/>
      <c r="N185" s="147"/>
      <c r="O185" s="147"/>
      <c r="P185" s="147"/>
      <c r="Q185" s="147"/>
      <c r="R185" s="147"/>
      <c r="S185" s="20"/>
      <c r="T185" s="186"/>
    </row>
    <row r="186" spans="1:20" s="17" customFormat="1" ht="15" customHeight="1" thickBot="1" x14ac:dyDescent="0.25">
      <c r="A186" s="58">
        <v>186</v>
      </c>
      <c r="B186" s="44"/>
      <c r="C186" s="151"/>
      <c r="D186" s="101"/>
      <c r="E186" s="97" t="s">
        <v>59</v>
      </c>
      <c r="F186" s="151"/>
      <c r="G186" s="102"/>
      <c r="H186" s="169">
        <f t="shared" ref="H186:M186" si="41">SUM(H179:H183,H185)</f>
        <v>0</v>
      </c>
      <c r="I186" s="169">
        <f t="shared" si="41"/>
        <v>0</v>
      </c>
      <c r="J186" s="169">
        <f t="shared" si="41"/>
        <v>0</v>
      </c>
      <c r="K186" s="169">
        <f t="shared" si="41"/>
        <v>0</v>
      </c>
      <c r="L186" s="169">
        <f t="shared" si="41"/>
        <v>0</v>
      </c>
      <c r="M186" s="169">
        <f t="shared" si="41"/>
        <v>0</v>
      </c>
      <c r="N186" s="147"/>
      <c r="O186" s="147"/>
      <c r="P186" s="147"/>
      <c r="Q186" s="147"/>
      <c r="R186" s="147"/>
      <c r="S186" s="20"/>
      <c r="T186" s="186"/>
    </row>
    <row r="187" spans="1:20" s="17" customFormat="1" ht="15" customHeight="1" thickBot="1" x14ac:dyDescent="0.25">
      <c r="A187" s="58">
        <v>187</v>
      </c>
      <c r="B187" s="44"/>
      <c r="C187" s="151"/>
      <c r="D187" s="153"/>
      <c r="E187" s="151"/>
      <c r="F187" s="102"/>
      <c r="G187" s="102"/>
      <c r="H187" s="115"/>
      <c r="I187" s="115"/>
      <c r="J187" s="115"/>
      <c r="K187" s="115"/>
      <c r="L187" s="115"/>
      <c r="M187" s="115"/>
      <c r="N187" s="147"/>
      <c r="O187" s="147"/>
      <c r="P187" s="147"/>
      <c r="Q187" s="147"/>
      <c r="R187" s="147"/>
      <c r="S187" s="20"/>
      <c r="T187" s="186"/>
    </row>
    <row r="188" spans="1:20" s="17" customFormat="1" ht="15" customHeight="1" thickBot="1" x14ac:dyDescent="0.25">
      <c r="A188" s="58">
        <v>188</v>
      </c>
      <c r="B188" s="44"/>
      <c r="C188" s="151"/>
      <c r="D188" s="101"/>
      <c r="E188" s="97" t="s">
        <v>283</v>
      </c>
      <c r="F188" s="102"/>
      <c r="G188" s="102"/>
      <c r="H188" s="169">
        <f t="shared" ref="H188:M188" si="42">H186+H176</f>
        <v>3490</v>
      </c>
      <c r="I188" s="169">
        <f t="shared" si="42"/>
        <v>5933.6556036997354</v>
      </c>
      <c r="J188" s="169">
        <f t="shared" si="42"/>
        <v>2985.9483952497421</v>
      </c>
      <c r="K188" s="169">
        <f t="shared" si="42"/>
        <v>2821.1277616482957</v>
      </c>
      <c r="L188" s="169">
        <f t="shared" si="42"/>
        <v>2305.5156102585152</v>
      </c>
      <c r="M188" s="169">
        <f t="shared" si="42"/>
        <v>2127.4512000162922</v>
      </c>
      <c r="N188" s="147"/>
      <c r="O188" s="147"/>
      <c r="P188" s="147"/>
      <c r="Q188" s="147"/>
      <c r="R188" s="147"/>
      <c r="S188" s="20"/>
      <c r="T188" s="186" t="s">
        <v>255</v>
      </c>
    </row>
    <row r="189" spans="1:20" s="11" customFormat="1" x14ac:dyDescent="0.2">
      <c r="A189" s="22"/>
      <c r="B189" s="54"/>
      <c r="C189" s="23"/>
      <c r="D189" s="23"/>
      <c r="E189" s="23"/>
      <c r="F189" s="23"/>
      <c r="G189" s="23"/>
      <c r="H189" s="23"/>
      <c r="I189" s="23"/>
      <c r="J189" s="23"/>
      <c r="K189" s="23"/>
      <c r="L189" s="23"/>
      <c r="M189" s="23"/>
      <c r="N189" s="23"/>
      <c r="O189" s="23"/>
      <c r="P189" s="23"/>
      <c r="Q189" s="23"/>
      <c r="R189" s="23"/>
      <c r="S189" s="24"/>
      <c r="T189" s="186"/>
    </row>
  </sheetData>
  <sheetProtection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3:D73"/>
    <mergeCell ref="C74:D74"/>
    <mergeCell ref="H66:H67"/>
    <mergeCell ref="A5:R5"/>
    <mergeCell ref="C72:D72"/>
    <mergeCell ref="C70:D70"/>
    <mergeCell ref="C71:D71"/>
  </mergeCells>
  <dataValidations disablePrompts="1"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xr:uid="{00000000-0002-0000-0300-000000000000}">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xr:uid="{00000000-0002-0000-0300-000001000000}">
      <formula1>OR(AND(ISNUMBER(H47),H47&gt;=0),AND(ISTEXT(H47),H47="N/A"))</formula1>
    </dataValidation>
    <dataValidation allowBlank="1" showInputMessage="1" showErrorMessage="1" prompt="Please enter text" sqref="F109:F113 F179:F183 F70:F74 F139:F143 F153:F157 F169:F173 F124:F128"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2"/>
  <headerFooter>
    <oddHeader>&amp;CCommerce Commission Information Disclosure Template</oddHeader>
    <oddFooter>&amp;L&amp;F&amp;C&amp;P&amp;R&amp;A</oddFooter>
  </headerFooter>
  <rowBreaks count="3" manualBreakCount="3">
    <brk id="49" max="18" man="1"/>
    <brk id="90" max="18" man="1"/>
    <brk id="13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1"/>
  <sheetViews>
    <sheetView showGridLines="0" view="pageBreakPreview" zoomScale="90" zoomScaleNormal="100" zoomScaleSheetLayoutView="90" workbookViewId="0">
      <selection activeCell="G31" sqref="G31"/>
    </sheetView>
  </sheetViews>
  <sheetFormatPr defaultRowHeight="12.75" x14ac:dyDescent="0.2"/>
  <cols>
    <col min="1" max="1" width="4.140625" style="17" customWidth="1"/>
    <col min="2" max="2" width="3.5703125" style="51" customWidth="1"/>
    <col min="3" max="3" width="6.140625" style="17" customWidth="1"/>
    <col min="4" max="4" width="2.28515625" style="17" customWidth="1"/>
    <col min="5" max="5" width="52.42578125" style="17" customWidth="1"/>
    <col min="6" max="6" width="3" style="15" customWidth="1"/>
    <col min="7" max="7" width="3.28515625" style="51" customWidth="1"/>
    <col min="8" max="8" width="3.28515625" style="15" customWidth="1"/>
    <col min="9" max="19" width="16.140625" style="17" customWidth="1"/>
    <col min="20" max="20" width="2.28515625" style="17" customWidth="1"/>
    <col min="21" max="16384" width="9.140625" style="17"/>
  </cols>
  <sheetData>
    <row r="1" spans="1:20" customFormat="1" ht="15" customHeight="1" x14ac:dyDescent="0.2">
      <c r="A1" s="30"/>
      <c r="B1" s="31"/>
      <c r="C1" s="31"/>
      <c r="D1" s="31"/>
      <c r="E1" s="31"/>
      <c r="F1" s="31"/>
      <c r="G1" s="31"/>
      <c r="H1" s="31"/>
      <c r="I1" s="31"/>
      <c r="J1" s="31"/>
      <c r="K1" s="31"/>
      <c r="L1" s="31"/>
      <c r="M1" s="31"/>
      <c r="N1" s="31"/>
      <c r="O1" s="31"/>
      <c r="P1" s="31"/>
      <c r="Q1" s="31"/>
      <c r="R1" s="31"/>
      <c r="S1" s="31"/>
      <c r="T1" s="32"/>
    </row>
    <row r="2" spans="1:20" customFormat="1" ht="18" customHeight="1" x14ac:dyDescent="0.3">
      <c r="A2" s="33"/>
      <c r="B2" s="52"/>
      <c r="C2" s="48"/>
      <c r="D2" s="48"/>
      <c r="E2" s="48"/>
      <c r="F2" s="48"/>
      <c r="G2" s="52"/>
      <c r="H2" s="48"/>
      <c r="I2" s="48"/>
      <c r="J2" s="48"/>
      <c r="K2" s="48"/>
      <c r="L2" s="48"/>
      <c r="M2" s="48"/>
      <c r="N2" s="48"/>
      <c r="O2" s="28"/>
      <c r="P2" s="42" t="s">
        <v>7</v>
      </c>
      <c r="Q2" s="280" t="str">
        <f>IF(NOT(ISBLANK(CoverSheet!$C$8)),CoverSheet!$C$8,"")</f>
        <v>Aurora Energy Limited</v>
      </c>
      <c r="R2" s="280"/>
      <c r="S2" s="280"/>
      <c r="T2" s="25"/>
    </row>
    <row r="3" spans="1:20" customFormat="1" ht="18" customHeight="1" x14ac:dyDescent="0.3">
      <c r="A3" s="33"/>
      <c r="B3" s="52"/>
      <c r="C3" s="48"/>
      <c r="D3" s="48"/>
      <c r="E3" s="48"/>
      <c r="F3" s="48"/>
      <c r="G3" s="52"/>
      <c r="H3" s="48"/>
      <c r="I3" s="48"/>
      <c r="J3" s="48"/>
      <c r="K3" s="48"/>
      <c r="L3" s="48"/>
      <c r="M3" s="48"/>
      <c r="N3" s="48"/>
      <c r="O3" s="28"/>
      <c r="P3" s="42" t="s">
        <v>81</v>
      </c>
      <c r="Q3" s="281" t="str">
        <f>IF(ISNUMBER(CoverSheet!$C$12),TEXT(CoverSheet!$C$12,"_([$-1409]d mmmm yyyy;_(@")&amp;" –"&amp;TEXT(DATE(YEAR(CoverSheet!$C$12)+10,MONTH(CoverSheet!$C$12),DAY(CoverSheet!$C$12)-1),"_([$-1409]d mmmm yyyy;_(@"),"")</f>
        <v xml:space="preserve"> 1 April 2021 – 31 March 2031</v>
      </c>
      <c r="R3" s="281"/>
      <c r="S3" s="281"/>
      <c r="T3" s="25"/>
    </row>
    <row r="4" spans="1:20" customFormat="1" ht="21" x14ac:dyDescent="0.35">
      <c r="A4" s="85" t="s">
        <v>153</v>
      </c>
      <c r="B4" s="53"/>
      <c r="C4" s="48"/>
      <c r="D4" s="48"/>
      <c r="E4" s="48"/>
      <c r="F4" s="48"/>
      <c r="G4" s="52"/>
      <c r="H4" s="48"/>
      <c r="I4" s="48"/>
      <c r="J4" s="48"/>
      <c r="K4" s="48"/>
      <c r="L4" s="48"/>
      <c r="M4" s="48"/>
      <c r="N4" s="48"/>
      <c r="O4" s="48"/>
      <c r="P4" s="49"/>
      <c r="Q4" s="48"/>
      <c r="R4" s="48"/>
      <c r="S4" s="48"/>
      <c r="T4" s="25"/>
    </row>
    <row r="5" spans="1:20" s="108" customFormat="1" ht="46.5" customHeight="1" x14ac:dyDescent="0.2">
      <c r="A5" s="277" t="s">
        <v>191</v>
      </c>
      <c r="B5" s="278"/>
      <c r="C5" s="278"/>
      <c r="D5" s="278"/>
      <c r="E5" s="278"/>
      <c r="F5" s="278"/>
      <c r="G5" s="278"/>
      <c r="H5" s="278"/>
      <c r="I5" s="278"/>
      <c r="J5" s="278"/>
      <c r="K5" s="278"/>
      <c r="L5" s="278"/>
      <c r="M5" s="278"/>
      <c r="N5" s="278"/>
      <c r="O5" s="278"/>
      <c r="P5" s="278"/>
      <c r="Q5" s="278"/>
      <c r="R5" s="278"/>
      <c r="S5" s="278"/>
      <c r="T5" s="107"/>
    </row>
    <row r="6" spans="1:20" customFormat="1" ht="15" customHeight="1" x14ac:dyDescent="0.2">
      <c r="A6" s="38" t="s">
        <v>240</v>
      </c>
      <c r="B6" s="56"/>
      <c r="C6" s="49"/>
      <c r="D6" s="48"/>
      <c r="E6" s="48"/>
      <c r="F6" s="48"/>
      <c r="G6" s="52"/>
      <c r="H6" s="48"/>
      <c r="I6" s="48"/>
      <c r="J6" s="48"/>
      <c r="K6" s="48"/>
      <c r="L6" s="48"/>
      <c r="M6" s="48"/>
      <c r="N6" s="48"/>
      <c r="O6" s="48"/>
      <c r="P6" s="48"/>
      <c r="Q6" s="48"/>
      <c r="R6" s="48"/>
      <c r="S6" s="48"/>
      <c r="T6" s="25"/>
    </row>
    <row r="7" spans="1:20" customFormat="1" ht="15" customHeight="1" x14ac:dyDescent="0.2">
      <c r="A7" s="41">
        <v>7</v>
      </c>
      <c r="B7" s="118"/>
      <c r="C7" s="98"/>
      <c r="D7" s="102"/>
      <c r="E7" s="102"/>
      <c r="F7" s="102"/>
      <c r="G7" s="102"/>
      <c r="H7" s="122"/>
      <c r="I7" s="122" t="s">
        <v>82</v>
      </c>
      <c r="J7" s="122" t="s">
        <v>161</v>
      </c>
      <c r="K7" s="122" t="s">
        <v>162</v>
      </c>
      <c r="L7" s="122" t="s">
        <v>163</v>
      </c>
      <c r="M7" s="122" t="s">
        <v>164</v>
      </c>
      <c r="N7" s="122" t="s">
        <v>165</v>
      </c>
      <c r="O7" s="122" t="s">
        <v>167</v>
      </c>
      <c r="P7" s="122" t="s">
        <v>168</v>
      </c>
      <c r="Q7" s="122" t="s">
        <v>169</v>
      </c>
      <c r="R7" s="122" t="s">
        <v>170</v>
      </c>
      <c r="S7" s="122" t="s">
        <v>171</v>
      </c>
      <c r="T7" s="134"/>
    </row>
    <row r="8" spans="1:20" customFormat="1" ht="15" customHeight="1" x14ac:dyDescent="0.2">
      <c r="A8" s="41">
        <v>8</v>
      </c>
      <c r="B8" s="118"/>
      <c r="C8" s="120"/>
      <c r="D8" s="102"/>
      <c r="E8" s="102"/>
      <c r="F8" s="102"/>
      <c r="G8" s="102"/>
      <c r="H8" s="191" t="str">
        <f>IF(ISNUMBER(CoverSheet!$C$12),"for year ended","")</f>
        <v>for year ended</v>
      </c>
      <c r="I8" s="123">
        <f>IF(ISNUMBER(CoverSheet!$C$12),DATE(YEAR(CoverSheet!$C$12),MONTH(CoverSheet!$C$12),DAY(CoverSheet!$C$12))-1,"")</f>
        <v>44286</v>
      </c>
      <c r="J8" s="123">
        <f>IF(ISNUMBER(CoverSheet!$C$12),DATE(YEAR(CoverSheet!$C$12)+1,MONTH(CoverSheet!$C$12),DAY(CoverSheet!$C$12))-1,"")</f>
        <v>44651</v>
      </c>
      <c r="K8" s="123">
        <f>IF(ISNUMBER(CoverSheet!$C$12),DATE(YEAR(CoverSheet!$C$12)+2,MONTH(CoverSheet!$C$12),DAY(CoverSheet!$C$12))-1,"")</f>
        <v>45016</v>
      </c>
      <c r="L8" s="123">
        <f>IF(ISNUMBER(CoverSheet!$C$12),DATE(YEAR(CoverSheet!$C$12)+3,MONTH(CoverSheet!$C$12),DAY(CoverSheet!$C$12))-1,"")</f>
        <v>45382</v>
      </c>
      <c r="M8" s="123">
        <f>IF(ISNUMBER(CoverSheet!$C$12),DATE(YEAR(CoverSheet!$C$12)+4,MONTH(CoverSheet!$C$12),DAY(CoverSheet!$C$12))-1,"")</f>
        <v>45747</v>
      </c>
      <c r="N8" s="123">
        <f>IF(ISNUMBER(CoverSheet!$C$12),DATE(YEAR(CoverSheet!$C$12)+5,MONTH(CoverSheet!$C$12),DAY(CoverSheet!$C$12))-1,"")</f>
        <v>46112</v>
      </c>
      <c r="O8" s="123">
        <f>IF(ISNUMBER(CoverSheet!$C$12),DATE(YEAR(CoverSheet!$C$12)+6,MONTH(CoverSheet!$C$12),DAY(CoverSheet!$C$12))-1,"")</f>
        <v>46477</v>
      </c>
      <c r="P8" s="123">
        <f>IF(ISNUMBER(CoverSheet!$C$12),DATE(YEAR(CoverSheet!$C$12)+7,MONTH(CoverSheet!$C$12),DAY(CoverSheet!$C$12))-1,"")</f>
        <v>46843</v>
      </c>
      <c r="Q8" s="123">
        <f>IF(ISNUMBER(CoverSheet!$C$12),DATE(YEAR(CoverSheet!$C$12)+8,MONTH(CoverSheet!$C$12),DAY(CoverSheet!$C$12))-1,"")</f>
        <v>47208</v>
      </c>
      <c r="R8" s="123">
        <f>IF(ISNUMBER(CoverSheet!$C$12),DATE(YEAR(CoverSheet!$C$12)+9,MONTH(CoverSheet!$C$12),DAY(CoverSheet!$C$12))-1,"")</f>
        <v>47573</v>
      </c>
      <c r="S8" s="123">
        <f>IF(ISNUMBER(CoverSheet!$C$12),DATE(YEAR(CoverSheet!$C$12)+10,MONTH(CoverSheet!$C$12),DAY(CoverSheet!$C$12))-1,"")</f>
        <v>47938</v>
      </c>
      <c r="T8" s="134"/>
    </row>
    <row r="9" spans="1:20" s="61" customFormat="1" ht="30" customHeight="1" x14ac:dyDescent="0.25">
      <c r="A9" s="58">
        <v>9</v>
      </c>
      <c r="B9" s="118"/>
      <c r="C9" s="92" t="s">
        <v>213</v>
      </c>
      <c r="D9" s="120"/>
      <c r="E9" s="102"/>
      <c r="F9" s="102"/>
      <c r="G9" s="102"/>
      <c r="H9" s="62"/>
      <c r="I9" s="59" t="s">
        <v>212</v>
      </c>
      <c r="J9" s="123"/>
      <c r="K9" s="123"/>
      <c r="L9" s="123"/>
      <c r="M9" s="123"/>
      <c r="N9" s="123"/>
      <c r="O9" s="123"/>
      <c r="P9" s="123"/>
      <c r="Q9" s="123"/>
      <c r="R9" s="123"/>
      <c r="S9" s="62"/>
      <c r="T9" s="134"/>
    </row>
    <row r="10" spans="1:20" customFormat="1" ht="15" customHeight="1" x14ac:dyDescent="0.2">
      <c r="A10" s="58">
        <v>10</v>
      </c>
      <c r="B10" s="118"/>
      <c r="C10" s="96"/>
      <c r="D10" s="96"/>
      <c r="E10" s="99" t="s">
        <v>62</v>
      </c>
      <c r="F10" s="99"/>
      <c r="G10" s="99"/>
      <c r="H10" s="102"/>
      <c r="I10" s="168">
        <v>3980.4389999999999</v>
      </c>
      <c r="J10" s="168">
        <v>4790.7209731588573</v>
      </c>
      <c r="K10" s="168">
        <v>4933.2315287991642</v>
      </c>
      <c r="L10" s="168">
        <v>4982.2984274670007</v>
      </c>
      <c r="M10" s="168">
        <v>5051.595378104108</v>
      </c>
      <c r="N10" s="168">
        <v>5068.1737183413488</v>
      </c>
      <c r="O10" s="168">
        <v>4849.3510789070506</v>
      </c>
      <c r="P10" s="168">
        <v>4888.2344085720624</v>
      </c>
      <c r="Q10" s="168">
        <v>4930.3889364223651</v>
      </c>
      <c r="R10" s="168">
        <v>4975.9326908609155</v>
      </c>
      <c r="S10" s="168">
        <v>5075.4513446781348</v>
      </c>
      <c r="T10" s="134"/>
    </row>
    <row r="11" spans="1:20" customFormat="1" ht="15" customHeight="1" x14ac:dyDescent="0.2">
      <c r="A11" s="58">
        <v>11</v>
      </c>
      <c r="B11" s="118"/>
      <c r="C11" s="96"/>
      <c r="D11" s="96"/>
      <c r="E11" s="99" t="s">
        <v>61</v>
      </c>
      <c r="F11" s="99"/>
      <c r="G11" s="99"/>
      <c r="H11" s="102"/>
      <c r="I11" s="168">
        <v>5834</v>
      </c>
      <c r="J11" s="168">
        <v>5233.7066201564385</v>
      </c>
      <c r="K11" s="168">
        <v>5346.3817208409446</v>
      </c>
      <c r="L11" s="168">
        <v>4012.5608866539264</v>
      </c>
      <c r="M11" s="168">
        <v>4035.0509184867783</v>
      </c>
      <c r="N11" s="168">
        <v>4015.8958536536238</v>
      </c>
      <c r="O11" s="168">
        <v>4145.9507458519765</v>
      </c>
      <c r="P11" s="168">
        <v>4033.0602680149032</v>
      </c>
      <c r="Q11" s="168">
        <v>4270.7612000937543</v>
      </c>
      <c r="R11" s="168">
        <v>4341.6103599151711</v>
      </c>
      <c r="S11" s="168">
        <v>4428.442567113475</v>
      </c>
      <c r="T11" s="134"/>
    </row>
    <row r="12" spans="1:20" customFormat="1" ht="15" customHeight="1" x14ac:dyDescent="0.2">
      <c r="A12" s="58">
        <v>12</v>
      </c>
      <c r="B12" s="118"/>
      <c r="C12" s="96"/>
      <c r="D12" s="96"/>
      <c r="E12" s="99" t="s">
        <v>80</v>
      </c>
      <c r="F12" s="99"/>
      <c r="G12" s="99"/>
      <c r="H12" s="102"/>
      <c r="I12" s="168">
        <v>9004.5609999999997</v>
      </c>
      <c r="J12" s="168">
        <v>10537.490503629913</v>
      </c>
      <c r="K12" s="168">
        <v>10400.600737492952</v>
      </c>
      <c r="L12" s="168">
        <v>10761.978727561971</v>
      </c>
      <c r="M12" s="168">
        <v>9972.5732456768219</v>
      </c>
      <c r="N12" s="168">
        <v>10194.686390815743</v>
      </c>
      <c r="O12" s="168">
        <v>9762.5980854326426</v>
      </c>
      <c r="P12" s="168">
        <v>9353.7047474659339</v>
      </c>
      <c r="Q12" s="168">
        <v>9050.6505061708467</v>
      </c>
      <c r="R12" s="168">
        <v>9894.3525134480533</v>
      </c>
      <c r="S12" s="168">
        <v>10092.239563717016</v>
      </c>
      <c r="T12" s="134"/>
    </row>
    <row r="13" spans="1:20" customFormat="1" ht="15" customHeight="1" thickBot="1" x14ac:dyDescent="0.25">
      <c r="A13" s="58">
        <v>13</v>
      </c>
      <c r="B13" s="118"/>
      <c r="C13" s="96"/>
      <c r="D13" s="96"/>
      <c r="E13" s="99" t="s">
        <v>76</v>
      </c>
      <c r="F13" s="99"/>
      <c r="G13" s="99"/>
      <c r="H13" s="102"/>
      <c r="I13" s="168">
        <v>0</v>
      </c>
      <c r="J13" s="168">
        <v>0</v>
      </c>
      <c r="K13" s="168">
        <v>0</v>
      </c>
      <c r="L13" s="168">
        <v>0</v>
      </c>
      <c r="M13" s="168">
        <v>0</v>
      </c>
      <c r="N13" s="168">
        <v>0</v>
      </c>
      <c r="O13" s="168">
        <v>0</v>
      </c>
      <c r="P13" s="168">
        <v>0</v>
      </c>
      <c r="Q13" s="168">
        <v>0</v>
      </c>
      <c r="R13" s="168">
        <v>0</v>
      </c>
      <c r="S13" s="168">
        <v>0</v>
      </c>
      <c r="T13" s="134"/>
    </row>
    <row r="14" spans="1:20" s="74" customFormat="1" ht="15" customHeight="1" thickBot="1" x14ac:dyDescent="0.25">
      <c r="A14" s="58">
        <v>14</v>
      </c>
      <c r="B14" s="118"/>
      <c r="C14" s="96"/>
      <c r="D14" s="60" t="s">
        <v>216</v>
      </c>
      <c r="E14" s="60"/>
      <c r="F14" s="99"/>
      <c r="G14" s="99"/>
      <c r="H14" s="102"/>
      <c r="I14" s="175">
        <f>SUM(I10:I13)</f>
        <v>18819</v>
      </c>
      <c r="J14" s="175">
        <f t="shared" ref="J14:S14" si="0">SUM(J10:J13)</f>
        <v>20561.91809694521</v>
      </c>
      <c r="K14" s="175">
        <f t="shared" si="0"/>
        <v>20680.213987133058</v>
      </c>
      <c r="L14" s="175">
        <f t="shared" si="0"/>
        <v>19756.838041682899</v>
      </c>
      <c r="M14" s="175">
        <f t="shared" si="0"/>
        <v>19059.21954226771</v>
      </c>
      <c r="N14" s="175">
        <f t="shared" si="0"/>
        <v>19278.755962810716</v>
      </c>
      <c r="O14" s="175">
        <f t="shared" si="0"/>
        <v>18757.899910191671</v>
      </c>
      <c r="P14" s="175">
        <f t="shared" si="0"/>
        <v>18274.999424052898</v>
      </c>
      <c r="Q14" s="175">
        <f t="shared" si="0"/>
        <v>18251.800642686969</v>
      </c>
      <c r="R14" s="175">
        <f t="shared" si="0"/>
        <v>19211.895564224142</v>
      </c>
      <c r="S14" s="175">
        <f t="shared" si="0"/>
        <v>19596.133475508625</v>
      </c>
      <c r="T14" s="134"/>
    </row>
    <row r="15" spans="1:20" customFormat="1" ht="15" customHeight="1" x14ac:dyDescent="0.2">
      <c r="A15" s="58">
        <v>15</v>
      </c>
      <c r="B15" s="118"/>
      <c r="C15" s="96"/>
      <c r="D15" s="96"/>
      <c r="E15" s="99" t="s">
        <v>93</v>
      </c>
      <c r="F15" s="99"/>
      <c r="G15" s="99"/>
      <c r="H15" s="102"/>
      <c r="I15" s="168">
        <v>13832</v>
      </c>
      <c r="J15" s="168">
        <v>16290.562</v>
      </c>
      <c r="K15" s="168">
        <v>18257.52529833635</v>
      </c>
      <c r="L15" s="168">
        <v>17697.155796752282</v>
      </c>
      <c r="M15" s="168">
        <v>18195.02345313628</v>
      </c>
      <c r="N15" s="168">
        <v>18222.635760912657</v>
      </c>
      <c r="O15" s="168">
        <v>18871.889535246435</v>
      </c>
      <c r="P15" s="168">
        <v>18918.217359996197</v>
      </c>
      <c r="Q15" s="168">
        <v>19425.843614095782</v>
      </c>
      <c r="R15" s="168">
        <v>19951.375510409624</v>
      </c>
      <c r="S15" s="168">
        <v>20350.566227976051</v>
      </c>
      <c r="T15" s="134"/>
    </row>
    <row r="16" spans="1:20" customFormat="1" ht="15" customHeight="1" thickBot="1" x14ac:dyDescent="0.25">
      <c r="A16" s="58">
        <v>16</v>
      </c>
      <c r="B16" s="118"/>
      <c r="C16" s="96"/>
      <c r="D16" s="96"/>
      <c r="E16" s="99" t="s">
        <v>60</v>
      </c>
      <c r="F16" s="99"/>
      <c r="G16" s="99"/>
      <c r="H16" s="102"/>
      <c r="I16" s="168">
        <v>14491</v>
      </c>
      <c r="J16" s="168">
        <v>15221.594999999999</v>
      </c>
      <c r="K16" s="168">
        <v>16619.301188095065</v>
      </c>
      <c r="L16" s="168">
        <v>16439.464173829696</v>
      </c>
      <c r="M16" s="168">
        <v>16651.852789875935</v>
      </c>
      <c r="N16" s="168">
        <v>17029.543596520663</v>
      </c>
      <c r="O16" s="168">
        <v>17506.740259882496</v>
      </c>
      <c r="P16" s="168">
        <v>17984.915096342709</v>
      </c>
      <c r="Q16" s="168">
        <v>18475.845901193919</v>
      </c>
      <c r="R16" s="168">
        <v>18979.880432125807</v>
      </c>
      <c r="S16" s="168">
        <v>19359.897781188141</v>
      </c>
      <c r="T16" s="134"/>
    </row>
    <row r="17" spans="1:20" s="74" customFormat="1" ht="15" customHeight="1" thickBot="1" x14ac:dyDescent="0.25">
      <c r="A17" s="58">
        <v>17</v>
      </c>
      <c r="B17" s="118"/>
      <c r="C17" s="96"/>
      <c r="D17" s="60" t="s">
        <v>209</v>
      </c>
      <c r="E17" s="60"/>
      <c r="F17" s="99"/>
      <c r="G17" s="99"/>
      <c r="H17" s="102"/>
      <c r="I17" s="175">
        <f>SUM(I15:I16)</f>
        <v>28323</v>
      </c>
      <c r="J17" s="175">
        <f t="shared" ref="J17:S17" si="1">SUM(J15:J16)</f>
        <v>31512.156999999999</v>
      </c>
      <c r="K17" s="175">
        <f t="shared" si="1"/>
        <v>34876.826486431411</v>
      </c>
      <c r="L17" s="175">
        <f t="shared" si="1"/>
        <v>34136.619970581974</v>
      </c>
      <c r="M17" s="175">
        <f t="shared" si="1"/>
        <v>34846.876243012215</v>
      </c>
      <c r="N17" s="175">
        <f t="shared" si="1"/>
        <v>35252.179357433321</v>
      </c>
      <c r="O17" s="175">
        <f t="shared" si="1"/>
        <v>36378.629795128931</v>
      </c>
      <c r="P17" s="175">
        <f t="shared" si="1"/>
        <v>36903.132456338906</v>
      </c>
      <c r="Q17" s="175">
        <f t="shared" si="1"/>
        <v>37901.689515289705</v>
      </c>
      <c r="R17" s="175">
        <f t="shared" si="1"/>
        <v>38931.255942535427</v>
      </c>
      <c r="S17" s="175">
        <f t="shared" si="1"/>
        <v>39710.464009164192</v>
      </c>
      <c r="T17" s="134"/>
    </row>
    <row r="18" spans="1:20" customFormat="1" ht="15" customHeight="1" thickBot="1" x14ac:dyDescent="0.25">
      <c r="A18" s="58">
        <v>18</v>
      </c>
      <c r="B18" s="118"/>
      <c r="C18" s="96"/>
      <c r="D18" s="97" t="s">
        <v>79</v>
      </c>
      <c r="E18" s="97"/>
      <c r="F18" s="99"/>
      <c r="G18" s="99"/>
      <c r="H18" s="102"/>
      <c r="I18" s="175">
        <f>I14+I17</f>
        <v>47142</v>
      </c>
      <c r="J18" s="175">
        <f t="shared" ref="J18:S18" si="2">J14+J17</f>
        <v>52074.075096945206</v>
      </c>
      <c r="K18" s="175">
        <f t="shared" si="2"/>
        <v>55557.04047356447</v>
      </c>
      <c r="L18" s="175">
        <f t="shared" si="2"/>
        <v>53893.458012264877</v>
      </c>
      <c r="M18" s="175">
        <f t="shared" si="2"/>
        <v>53906.095785279926</v>
      </c>
      <c r="N18" s="175">
        <f t="shared" si="2"/>
        <v>54530.93532024404</v>
      </c>
      <c r="O18" s="175">
        <f t="shared" si="2"/>
        <v>55136.529705320601</v>
      </c>
      <c r="P18" s="175">
        <f t="shared" si="2"/>
        <v>55178.131880391804</v>
      </c>
      <c r="Q18" s="175">
        <f t="shared" si="2"/>
        <v>56153.490157976674</v>
      </c>
      <c r="R18" s="175">
        <f t="shared" si="2"/>
        <v>58143.151506759568</v>
      </c>
      <c r="S18" s="175">
        <f t="shared" si="2"/>
        <v>59306.59748467282</v>
      </c>
      <c r="T18" s="134"/>
    </row>
    <row r="19" spans="1:20" s="71" customFormat="1" ht="43.5" customHeight="1" x14ac:dyDescent="0.2">
      <c r="A19" s="58">
        <v>19</v>
      </c>
      <c r="B19" s="118"/>
      <c r="C19" s="98"/>
      <c r="D19" s="102"/>
      <c r="E19" s="102"/>
      <c r="F19" s="102"/>
      <c r="G19" s="102"/>
      <c r="H19" s="122"/>
      <c r="I19" s="122" t="s">
        <v>82</v>
      </c>
      <c r="J19" s="122" t="s">
        <v>161</v>
      </c>
      <c r="K19" s="122" t="s">
        <v>162</v>
      </c>
      <c r="L19" s="122" t="s">
        <v>163</v>
      </c>
      <c r="M19" s="122" t="s">
        <v>164</v>
      </c>
      <c r="N19" s="122" t="s">
        <v>165</v>
      </c>
      <c r="O19" s="122" t="s">
        <v>167</v>
      </c>
      <c r="P19" s="122" t="s">
        <v>168</v>
      </c>
      <c r="Q19" s="122" t="s">
        <v>169</v>
      </c>
      <c r="R19" s="122" t="s">
        <v>170</v>
      </c>
      <c r="S19" s="122" t="s">
        <v>171</v>
      </c>
      <c r="T19" s="134"/>
    </row>
    <row r="20" spans="1:20" s="71" customFormat="1" ht="15" customHeight="1" x14ac:dyDescent="0.2">
      <c r="A20" s="58">
        <v>20</v>
      </c>
      <c r="B20" s="118"/>
      <c r="C20" s="120"/>
      <c r="D20" s="102"/>
      <c r="E20" s="102"/>
      <c r="F20" s="102"/>
      <c r="G20" s="102"/>
      <c r="H20" s="189" t="str">
        <f>IF(ISNUMBER(CoverSheet!$C$12),"for year ended","")</f>
        <v>for year ended</v>
      </c>
      <c r="I20" s="123">
        <f>IF(ISNUMBER(CoverSheet!$C$12),DATE(YEAR(CoverSheet!$C$12),MONTH(CoverSheet!$C$12),DAY(CoverSheet!$C$12))-1,"")</f>
        <v>44286</v>
      </c>
      <c r="J20" s="123">
        <f>IF(ISNUMBER(CoverSheet!$C$12),DATE(YEAR(CoverSheet!$C$12)+1,MONTH(CoverSheet!$C$12),DAY(CoverSheet!$C$12))-1,"")</f>
        <v>44651</v>
      </c>
      <c r="K20" s="123">
        <f>IF(ISNUMBER(CoverSheet!$C$12),DATE(YEAR(CoverSheet!$C$12)+2,MONTH(CoverSheet!$C$12),DAY(CoverSheet!$C$12))-1,"")</f>
        <v>45016</v>
      </c>
      <c r="L20" s="123">
        <f>IF(ISNUMBER(CoverSheet!$C$12),DATE(YEAR(CoverSheet!$C$12)+3,MONTH(CoverSheet!$C$12),DAY(CoverSheet!$C$12))-1,"")</f>
        <v>45382</v>
      </c>
      <c r="M20" s="123">
        <f>IF(ISNUMBER(CoverSheet!$C$12),DATE(YEAR(CoverSheet!$C$12)+4,MONTH(CoverSheet!$C$12),DAY(CoverSheet!$C$12))-1,"")</f>
        <v>45747</v>
      </c>
      <c r="N20" s="123">
        <f>IF(ISNUMBER(CoverSheet!$C$12),DATE(YEAR(CoverSheet!$C$12)+5,MONTH(CoverSheet!$C$12),DAY(CoverSheet!$C$12))-1,"")</f>
        <v>46112</v>
      </c>
      <c r="O20" s="123">
        <f>IF(ISNUMBER(CoverSheet!$C$12),DATE(YEAR(CoverSheet!$C$12)+6,MONTH(CoverSheet!$C$12),DAY(CoverSheet!$C$12))-1,"")</f>
        <v>46477</v>
      </c>
      <c r="P20" s="123">
        <f>IF(ISNUMBER(CoverSheet!$C$12),DATE(YEAR(CoverSheet!$C$12)+7,MONTH(CoverSheet!$C$12),DAY(CoverSheet!$C$12))-1,"")</f>
        <v>46843</v>
      </c>
      <c r="Q20" s="123">
        <f>IF(ISNUMBER(CoverSheet!$C$12),DATE(YEAR(CoverSheet!$C$12)+8,MONTH(CoverSheet!$C$12),DAY(CoverSheet!$C$12))-1,"")</f>
        <v>47208</v>
      </c>
      <c r="R20" s="123">
        <f>IF(ISNUMBER(CoverSheet!$C$12),DATE(YEAR(CoverSheet!$C$12)+9,MONTH(CoverSheet!$C$12),DAY(CoverSheet!$C$12))-1,"")</f>
        <v>47573</v>
      </c>
      <c r="S20" s="123">
        <f>IF(ISNUMBER(CoverSheet!$C$12),DATE(YEAR(CoverSheet!$C$12)+10,MONTH(CoverSheet!$C$12),DAY(CoverSheet!$C$12))-1,"")</f>
        <v>47938</v>
      </c>
      <c r="T20" s="134"/>
    </row>
    <row r="21" spans="1:20" customFormat="1" ht="30" customHeight="1" x14ac:dyDescent="0.2">
      <c r="A21" s="41">
        <v>21</v>
      </c>
      <c r="B21" s="118"/>
      <c r="C21" s="96"/>
      <c r="D21" s="96"/>
      <c r="E21" s="97"/>
      <c r="F21" s="102"/>
      <c r="G21" s="102"/>
      <c r="H21" s="102"/>
      <c r="I21" s="59" t="s">
        <v>180</v>
      </c>
      <c r="J21" s="102"/>
      <c r="K21" s="102"/>
      <c r="L21" s="102"/>
      <c r="M21" s="102"/>
      <c r="N21" s="102"/>
      <c r="O21" s="102"/>
      <c r="P21" s="102"/>
      <c r="Q21" s="102"/>
      <c r="R21" s="62"/>
      <c r="S21" s="62"/>
      <c r="T21" s="134"/>
    </row>
    <row r="22" spans="1:20" customFormat="1" ht="15" customHeight="1" x14ac:dyDescent="0.2">
      <c r="A22" s="41">
        <v>22</v>
      </c>
      <c r="B22" s="118"/>
      <c r="C22" s="96"/>
      <c r="D22" s="96"/>
      <c r="E22" s="98" t="s">
        <v>62</v>
      </c>
      <c r="F22" s="105"/>
      <c r="G22" s="105"/>
      <c r="H22" s="102"/>
      <c r="I22" s="168">
        <v>3980.4389999999999</v>
      </c>
      <c r="J22" s="168">
        <v>4668.3314018812662</v>
      </c>
      <c r="K22" s="168">
        <v>4705.1794625451839</v>
      </c>
      <c r="L22" s="168">
        <v>4639.8095802360567</v>
      </c>
      <c r="M22" s="168">
        <v>4588.974025963953</v>
      </c>
      <c r="N22" s="168">
        <v>4506.8686956256979</v>
      </c>
      <c r="O22" s="168">
        <v>4225.3384080750502</v>
      </c>
      <c r="P22" s="168">
        <v>4175.7041622746219</v>
      </c>
      <c r="Q22" s="168">
        <v>4129.131434640276</v>
      </c>
      <c r="R22" s="168">
        <v>4085.562440036676</v>
      </c>
      <c r="S22" s="168">
        <v>4085.562440036676</v>
      </c>
      <c r="T22" s="134"/>
    </row>
    <row r="23" spans="1:20" customFormat="1" ht="15" customHeight="1" x14ac:dyDescent="0.2">
      <c r="A23" s="41">
        <v>23</v>
      </c>
      <c r="B23" s="118"/>
      <c r="C23" s="96"/>
      <c r="D23" s="96"/>
      <c r="E23" s="98" t="s">
        <v>61</v>
      </c>
      <c r="F23" s="105"/>
      <c r="G23" s="105"/>
      <c r="H23" s="102"/>
      <c r="I23" s="168">
        <v>5834</v>
      </c>
      <c r="J23" s="168">
        <v>5100</v>
      </c>
      <c r="K23" s="168">
        <v>5099.2306614790359</v>
      </c>
      <c r="L23" s="168">
        <v>3736.7328983226957</v>
      </c>
      <c r="M23" s="168">
        <v>3665.5239528165166</v>
      </c>
      <c r="N23" s="168">
        <v>3571.1315976058963</v>
      </c>
      <c r="O23" s="168">
        <v>3612.4513650152112</v>
      </c>
      <c r="P23" s="168">
        <v>3445.183913095882</v>
      </c>
      <c r="Q23" s="168">
        <v>3576.7024769338545</v>
      </c>
      <c r="R23" s="168">
        <v>3564.7427965257684</v>
      </c>
      <c r="S23" s="168">
        <v>3564.7427965257684</v>
      </c>
      <c r="T23" s="134"/>
    </row>
    <row r="24" spans="1:20" customFormat="1" ht="15" customHeight="1" x14ac:dyDescent="0.2">
      <c r="A24" s="41">
        <v>24</v>
      </c>
      <c r="B24" s="118"/>
      <c r="C24" s="96"/>
      <c r="D24" s="96"/>
      <c r="E24" s="98" t="s">
        <v>80</v>
      </c>
      <c r="F24" s="105"/>
      <c r="G24" s="105"/>
      <c r="H24" s="102"/>
      <c r="I24" s="168">
        <v>9004.5609999999997</v>
      </c>
      <c r="J24" s="168">
        <v>10261.01105602672</v>
      </c>
      <c r="K24" s="168">
        <v>9905.9719201204553</v>
      </c>
      <c r="L24" s="168">
        <v>10006.245946595947</v>
      </c>
      <c r="M24" s="168">
        <v>9048.0159019187995</v>
      </c>
      <c r="N24" s="168">
        <v>9051.9572620954586</v>
      </c>
      <c r="O24" s="168">
        <v>8490.0247577341343</v>
      </c>
      <c r="P24" s="168">
        <v>7974.9327923771134</v>
      </c>
      <c r="Q24" s="168">
        <v>7565.2450084184547</v>
      </c>
      <c r="R24" s="168">
        <v>8108.3112303407215</v>
      </c>
      <c r="S24" s="168">
        <v>8108.3112303407215</v>
      </c>
      <c r="T24" s="134"/>
    </row>
    <row r="25" spans="1:20" customFormat="1" ht="15" customHeight="1" thickBot="1" x14ac:dyDescent="0.25">
      <c r="A25" s="41">
        <v>25</v>
      </c>
      <c r="B25" s="118"/>
      <c r="C25" s="96"/>
      <c r="D25" s="96"/>
      <c r="E25" s="98" t="s">
        <v>76</v>
      </c>
      <c r="F25" s="105"/>
      <c r="G25" s="105"/>
      <c r="H25" s="102"/>
      <c r="I25" s="168">
        <v>0</v>
      </c>
      <c r="J25" s="168">
        <v>0</v>
      </c>
      <c r="K25" s="168">
        <v>0</v>
      </c>
      <c r="L25" s="168">
        <v>0</v>
      </c>
      <c r="M25" s="168">
        <v>0</v>
      </c>
      <c r="N25" s="168">
        <v>0</v>
      </c>
      <c r="O25" s="168">
        <v>0</v>
      </c>
      <c r="P25" s="168">
        <v>0</v>
      </c>
      <c r="Q25" s="168">
        <v>0</v>
      </c>
      <c r="R25" s="168">
        <v>0</v>
      </c>
      <c r="S25" s="168">
        <v>0</v>
      </c>
      <c r="T25" s="134"/>
    </row>
    <row r="26" spans="1:20" s="74" customFormat="1" ht="15" customHeight="1" thickBot="1" x14ac:dyDescent="0.25">
      <c r="A26" s="58">
        <v>26</v>
      </c>
      <c r="B26" s="118"/>
      <c r="C26" s="96"/>
      <c r="D26" s="60" t="s">
        <v>216</v>
      </c>
      <c r="E26" s="60"/>
      <c r="F26" s="99"/>
      <c r="G26" s="99"/>
      <c r="H26" s="102"/>
      <c r="I26" s="175">
        <f t="shared" ref="I26:S26" si="3">SUM(I22:I25)</f>
        <v>18819</v>
      </c>
      <c r="J26" s="175">
        <f t="shared" si="3"/>
        <v>20029.342457907987</v>
      </c>
      <c r="K26" s="175">
        <f t="shared" si="3"/>
        <v>19710.382044144673</v>
      </c>
      <c r="L26" s="175">
        <f t="shared" si="3"/>
        <v>18382.7884251547</v>
      </c>
      <c r="M26" s="175">
        <f t="shared" si="3"/>
        <v>17302.513880699269</v>
      </c>
      <c r="N26" s="175">
        <f t="shared" si="3"/>
        <v>17129.957555327055</v>
      </c>
      <c r="O26" s="175">
        <f t="shared" si="3"/>
        <v>16327.814530824395</v>
      </c>
      <c r="P26" s="175">
        <f t="shared" si="3"/>
        <v>15595.820867747618</v>
      </c>
      <c r="Q26" s="175">
        <f t="shared" si="3"/>
        <v>15271.078919992586</v>
      </c>
      <c r="R26" s="175">
        <f t="shared" si="3"/>
        <v>15758.616466903166</v>
      </c>
      <c r="S26" s="175">
        <f t="shared" si="3"/>
        <v>15758.616466903166</v>
      </c>
      <c r="T26" s="134"/>
    </row>
    <row r="27" spans="1:20" customFormat="1" ht="15" customHeight="1" x14ac:dyDescent="0.2">
      <c r="A27" s="41">
        <v>27</v>
      </c>
      <c r="B27" s="118"/>
      <c r="C27" s="96"/>
      <c r="D27" s="96"/>
      <c r="E27" s="98" t="s">
        <v>93</v>
      </c>
      <c r="F27" s="105"/>
      <c r="G27" s="105"/>
      <c r="H27" s="102"/>
      <c r="I27" s="168">
        <v>13832</v>
      </c>
      <c r="J27" s="168">
        <v>15901.093174488024</v>
      </c>
      <c r="K27" s="168">
        <v>17471.038847972748</v>
      </c>
      <c r="L27" s="168">
        <v>16541.739514045606</v>
      </c>
      <c r="M27" s="168">
        <v>16574.267603314212</v>
      </c>
      <c r="N27" s="168">
        <v>16257.221686009207</v>
      </c>
      <c r="O27" s="168">
        <v>16511.685717817596</v>
      </c>
      <c r="P27" s="168">
        <v>16227.486915887644</v>
      </c>
      <c r="Q27" s="168">
        <v>16336.16132426386</v>
      </c>
      <c r="R27" s="168">
        <v>16448.98974696959</v>
      </c>
      <c r="S27" s="168">
        <v>16448.98974696959</v>
      </c>
      <c r="T27" s="134"/>
    </row>
    <row r="28" spans="1:20" customFormat="1" ht="15" customHeight="1" thickBot="1" x14ac:dyDescent="0.25">
      <c r="A28" s="41">
        <v>28</v>
      </c>
      <c r="B28" s="118"/>
      <c r="C28" s="96"/>
      <c r="D28" s="96"/>
      <c r="E28" s="98" t="s">
        <v>60</v>
      </c>
      <c r="F28" s="105"/>
      <c r="G28" s="105"/>
      <c r="H28" s="102"/>
      <c r="I28" s="168">
        <v>14491</v>
      </c>
      <c r="J28" s="168">
        <v>14832.687647425217</v>
      </c>
      <c r="K28" s="168">
        <v>15849.733753717323</v>
      </c>
      <c r="L28" s="168">
        <v>15309.656288880542</v>
      </c>
      <c r="M28" s="168">
        <v>15125.642146016115</v>
      </c>
      <c r="N28" s="168">
        <v>15138.966339367018</v>
      </c>
      <c r="O28" s="168">
        <v>15247.424477654386</v>
      </c>
      <c r="P28" s="168">
        <v>15356.400239849152</v>
      </c>
      <c r="Q28" s="168">
        <v>15465.906883710344</v>
      </c>
      <c r="R28" s="168">
        <v>15575.957566958479</v>
      </c>
      <c r="S28" s="168">
        <v>15575.957566958479</v>
      </c>
      <c r="T28" s="134"/>
    </row>
    <row r="29" spans="1:20" s="74" customFormat="1" ht="15" customHeight="1" thickBot="1" x14ac:dyDescent="0.25">
      <c r="A29" s="58">
        <v>29</v>
      </c>
      <c r="B29" s="118"/>
      <c r="C29" s="96"/>
      <c r="D29" s="60" t="s">
        <v>209</v>
      </c>
      <c r="E29" s="60"/>
      <c r="F29" s="99"/>
      <c r="G29" s="99"/>
      <c r="H29" s="102"/>
      <c r="I29" s="175">
        <f t="shared" ref="I29:S29" si="4">SUM(I27:I28)</f>
        <v>28323</v>
      </c>
      <c r="J29" s="175">
        <f t="shared" si="4"/>
        <v>30733.780821913242</v>
      </c>
      <c r="K29" s="175">
        <f t="shared" si="4"/>
        <v>33320.772601690071</v>
      </c>
      <c r="L29" s="175">
        <f t="shared" si="4"/>
        <v>31851.395802926148</v>
      </c>
      <c r="M29" s="175">
        <f t="shared" si="4"/>
        <v>31699.909749330327</v>
      </c>
      <c r="N29" s="175">
        <f t="shared" si="4"/>
        <v>31396.188025376225</v>
      </c>
      <c r="O29" s="175">
        <f t="shared" si="4"/>
        <v>31759.110195471982</v>
      </c>
      <c r="P29" s="175">
        <f t="shared" si="4"/>
        <v>31583.887155736797</v>
      </c>
      <c r="Q29" s="175">
        <f t="shared" si="4"/>
        <v>31802.068207974204</v>
      </c>
      <c r="R29" s="175">
        <f t="shared" si="4"/>
        <v>32024.947313928067</v>
      </c>
      <c r="S29" s="175">
        <f t="shared" si="4"/>
        <v>32024.947313928067</v>
      </c>
      <c r="T29" s="134"/>
    </row>
    <row r="30" spans="1:20" customFormat="1" ht="15" customHeight="1" thickBot="1" x14ac:dyDescent="0.25">
      <c r="A30" s="41">
        <v>30</v>
      </c>
      <c r="B30" s="118"/>
      <c r="C30" s="96"/>
      <c r="D30" s="97" t="s">
        <v>79</v>
      </c>
      <c r="E30" s="97"/>
      <c r="F30" s="105"/>
      <c r="G30" s="105"/>
      <c r="H30" s="102"/>
      <c r="I30" s="175">
        <f>I26+I29</f>
        <v>47142</v>
      </c>
      <c r="J30" s="175">
        <f t="shared" ref="J30:S30" si="5">J26+J29</f>
        <v>50763.12327982123</v>
      </c>
      <c r="K30" s="175">
        <f t="shared" si="5"/>
        <v>53031.154645834744</v>
      </c>
      <c r="L30" s="175">
        <f t="shared" si="5"/>
        <v>50234.184228080849</v>
      </c>
      <c r="M30" s="175">
        <f t="shared" si="5"/>
        <v>49002.423630029596</v>
      </c>
      <c r="N30" s="175">
        <f t="shared" si="5"/>
        <v>48526.145580703276</v>
      </c>
      <c r="O30" s="175">
        <f t="shared" si="5"/>
        <v>48086.924726296376</v>
      </c>
      <c r="P30" s="175">
        <f t="shared" si="5"/>
        <v>47179.708023484418</v>
      </c>
      <c r="Q30" s="175">
        <f t="shared" si="5"/>
        <v>47073.147127966789</v>
      </c>
      <c r="R30" s="175">
        <f t="shared" si="5"/>
        <v>47783.563780831231</v>
      </c>
      <c r="S30" s="175">
        <f t="shared" si="5"/>
        <v>47783.563780831231</v>
      </c>
      <c r="T30" s="134"/>
    </row>
    <row r="31" spans="1:20" customFormat="1" ht="30" customHeight="1" x14ac:dyDescent="0.25">
      <c r="A31" s="41">
        <v>31</v>
      </c>
      <c r="B31" s="118"/>
      <c r="C31" s="95" t="s">
        <v>98</v>
      </c>
      <c r="D31" s="96"/>
      <c r="E31" s="96"/>
      <c r="F31" s="105"/>
      <c r="G31" s="105"/>
      <c r="H31" s="105"/>
      <c r="I31" s="98"/>
      <c r="J31" s="98"/>
      <c r="K31" s="102"/>
      <c r="L31" s="102"/>
      <c r="M31" s="102"/>
      <c r="N31" s="98"/>
      <c r="O31" s="102"/>
      <c r="P31" s="98"/>
      <c r="Q31" s="98"/>
      <c r="R31" s="102"/>
      <c r="S31" s="102"/>
      <c r="T31" s="134"/>
    </row>
    <row r="32" spans="1:20" customFormat="1" ht="15" customHeight="1" x14ac:dyDescent="0.2">
      <c r="A32" s="41">
        <v>32</v>
      </c>
      <c r="B32" s="118"/>
      <c r="C32" s="279"/>
      <c r="D32" s="279"/>
      <c r="E32" s="282" t="s">
        <v>217</v>
      </c>
      <c r="F32" s="104"/>
      <c r="G32" s="135"/>
      <c r="H32" s="105"/>
      <c r="I32" s="98"/>
      <c r="J32" s="98"/>
      <c r="K32" s="102"/>
      <c r="L32" s="102"/>
      <c r="M32" s="102"/>
      <c r="N32" s="98"/>
      <c r="O32" s="102"/>
      <c r="P32" s="98"/>
      <c r="Q32" s="98"/>
      <c r="R32" s="102"/>
      <c r="S32" s="102"/>
      <c r="T32" s="134"/>
    </row>
    <row r="33" spans="1:20" customFormat="1" ht="15" customHeight="1" x14ac:dyDescent="0.2">
      <c r="A33" s="41">
        <v>33</v>
      </c>
      <c r="B33" s="118"/>
      <c r="C33" s="279"/>
      <c r="D33" s="279"/>
      <c r="E33" s="282"/>
      <c r="F33" s="104"/>
      <c r="G33" s="135"/>
      <c r="H33" s="102"/>
      <c r="I33" s="168"/>
      <c r="J33" s="168"/>
      <c r="K33" s="168"/>
      <c r="L33" s="168"/>
      <c r="M33" s="168"/>
      <c r="N33" s="168"/>
      <c r="O33" s="168"/>
      <c r="P33" s="168"/>
      <c r="Q33" s="168"/>
      <c r="R33" s="168"/>
      <c r="S33" s="168"/>
      <c r="T33" s="134"/>
    </row>
    <row r="34" spans="1:20" customFormat="1" ht="15" customHeight="1" x14ac:dyDescent="0.2">
      <c r="A34" s="41">
        <v>34</v>
      </c>
      <c r="B34" s="118"/>
      <c r="C34" s="96"/>
      <c r="D34" s="96"/>
      <c r="E34" s="103" t="s">
        <v>192</v>
      </c>
      <c r="F34" s="105"/>
      <c r="G34" s="105"/>
      <c r="H34" s="102"/>
      <c r="I34" s="168"/>
      <c r="J34" s="168"/>
      <c r="K34" s="168"/>
      <c r="L34" s="168"/>
      <c r="M34" s="168"/>
      <c r="N34" s="168"/>
      <c r="O34" s="168"/>
      <c r="P34" s="168"/>
      <c r="Q34" s="168"/>
      <c r="R34" s="168"/>
      <c r="S34" s="168"/>
      <c r="T34" s="134"/>
    </row>
    <row r="35" spans="1:20" customFormat="1" ht="15" customHeight="1" x14ac:dyDescent="0.2">
      <c r="A35" s="41">
        <v>35</v>
      </c>
      <c r="B35" s="118"/>
      <c r="C35" s="96"/>
      <c r="D35" s="96"/>
      <c r="E35" s="98" t="s">
        <v>90</v>
      </c>
      <c r="F35" s="98"/>
      <c r="G35" s="105"/>
      <c r="H35" s="102"/>
      <c r="I35" s="168"/>
      <c r="J35" s="168"/>
      <c r="K35" s="168"/>
      <c r="L35" s="168"/>
      <c r="M35" s="168"/>
      <c r="N35" s="168"/>
      <c r="O35" s="168"/>
      <c r="P35" s="168"/>
      <c r="Q35" s="168"/>
      <c r="R35" s="168"/>
      <c r="S35" s="168"/>
      <c r="T35" s="134"/>
    </row>
    <row r="36" spans="1:20" s="82" customFormat="1" ht="15" customHeight="1" x14ac:dyDescent="0.2">
      <c r="A36" s="58">
        <v>36</v>
      </c>
      <c r="B36" s="118"/>
      <c r="C36" s="96"/>
      <c r="D36" s="96"/>
      <c r="E36" s="98" t="s">
        <v>144</v>
      </c>
      <c r="F36" s="98"/>
      <c r="G36" s="105"/>
      <c r="H36" s="102"/>
      <c r="I36" s="168"/>
      <c r="J36" s="168"/>
      <c r="K36" s="168"/>
      <c r="L36" s="168"/>
      <c r="M36" s="168"/>
      <c r="N36" s="168"/>
      <c r="O36" s="168"/>
      <c r="P36" s="168"/>
      <c r="Q36" s="168"/>
      <c r="R36" s="168"/>
      <c r="S36" s="168"/>
      <c r="T36" s="134"/>
    </row>
    <row r="37" spans="1:20" s="63" customFormat="1" ht="15" customHeight="1" x14ac:dyDescent="0.2">
      <c r="A37" s="58">
        <v>37</v>
      </c>
      <c r="B37" s="110" t="s">
        <v>193</v>
      </c>
      <c r="C37" s="96"/>
      <c r="D37" s="96"/>
      <c r="E37" s="97"/>
      <c r="F37" s="105"/>
      <c r="G37" s="105"/>
      <c r="H37" s="102"/>
      <c r="I37" s="105"/>
      <c r="J37" s="102"/>
      <c r="K37" s="105"/>
      <c r="L37" s="102"/>
      <c r="M37" s="105"/>
      <c r="N37" s="102"/>
      <c r="O37" s="105"/>
      <c r="P37" s="102"/>
      <c r="Q37" s="105"/>
      <c r="R37" s="102"/>
      <c r="S37" s="102"/>
      <c r="T37" s="134"/>
    </row>
    <row r="38" spans="1:20" customFormat="1" ht="15" customHeight="1" x14ac:dyDescent="0.2">
      <c r="A38" s="58">
        <v>38</v>
      </c>
      <c r="B38" s="118"/>
      <c r="C38" s="96"/>
      <c r="D38" s="96"/>
      <c r="E38" s="97"/>
      <c r="F38" s="102"/>
      <c r="G38" s="102"/>
      <c r="H38" s="102"/>
      <c r="I38" s="102"/>
      <c r="J38" s="102"/>
      <c r="K38" s="102"/>
      <c r="L38" s="102"/>
      <c r="M38" s="102"/>
      <c r="N38" s="102"/>
      <c r="O38" s="102"/>
      <c r="P38" s="102"/>
      <c r="Q38" s="102"/>
      <c r="R38" s="102"/>
      <c r="S38" s="102"/>
      <c r="T38" s="134"/>
    </row>
    <row r="39" spans="1:20" s="71" customFormat="1" ht="15" customHeight="1" x14ac:dyDescent="0.2">
      <c r="A39" s="58">
        <v>39</v>
      </c>
      <c r="B39" s="118"/>
      <c r="C39" s="98"/>
      <c r="D39" s="102"/>
      <c r="E39" s="102"/>
      <c r="F39" s="102"/>
      <c r="G39" s="102"/>
      <c r="H39" s="122"/>
      <c r="I39" s="122" t="s">
        <v>82</v>
      </c>
      <c r="J39" s="122" t="s">
        <v>161</v>
      </c>
      <c r="K39" s="122" t="s">
        <v>162</v>
      </c>
      <c r="L39" s="122" t="s">
        <v>163</v>
      </c>
      <c r="M39" s="122" t="s">
        <v>164</v>
      </c>
      <c r="N39" s="122" t="s">
        <v>165</v>
      </c>
      <c r="O39" s="122" t="s">
        <v>167</v>
      </c>
      <c r="P39" s="122" t="s">
        <v>168</v>
      </c>
      <c r="Q39" s="122" t="s">
        <v>169</v>
      </c>
      <c r="R39" s="122" t="s">
        <v>170</v>
      </c>
      <c r="S39" s="122" t="s">
        <v>171</v>
      </c>
      <c r="T39" s="134"/>
    </row>
    <row r="40" spans="1:20" s="71" customFormat="1" ht="15" customHeight="1" x14ac:dyDescent="0.2">
      <c r="A40" s="58">
        <v>40</v>
      </c>
      <c r="B40" s="118"/>
      <c r="C40" s="120"/>
      <c r="D40" s="102"/>
      <c r="E40" s="102"/>
      <c r="F40" s="102"/>
      <c r="G40" s="102"/>
      <c r="H40" s="189" t="str">
        <f>IF(ISNUMBER(CoverSheet!$C$12),"for year ended","")</f>
        <v>for year ended</v>
      </c>
      <c r="I40" s="123">
        <f>IF(ISNUMBER(CoverSheet!$C$12),DATE(YEAR(CoverSheet!$C$12),MONTH(CoverSheet!$C$12),DAY(CoverSheet!$C$12))-1,"")</f>
        <v>44286</v>
      </c>
      <c r="J40" s="123">
        <f>IF(ISNUMBER(CoverSheet!$C$12),DATE(YEAR(CoverSheet!$C$12)+1,MONTH(CoverSheet!$C$12),DAY(CoverSheet!$C$12))-1,"")</f>
        <v>44651</v>
      </c>
      <c r="K40" s="123">
        <f>IF(ISNUMBER(CoverSheet!$C$12),DATE(YEAR(CoverSheet!$C$12)+2,MONTH(CoverSheet!$C$12),DAY(CoverSheet!$C$12))-1,"")</f>
        <v>45016</v>
      </c>
      <c r="L40" s="123">
        <f>IF(ISNUMBER(CoverSheet!$C$12),DATE(YEAR(CoverSheet!$C$12)+3,MONTH(CoverSheet!$C$12),DAY(CoverSheet!$C$12))-1,"")</f>
        <v>45382</v>
      </c>
      <c r="M40" s="123">
        <f>IF(ISNUMBER(CoverSheet!$C$12),DATE(YEAR(CoverSheet!$C$12)+4,MONTH(CoverSheet!$C$12),DAY(CoverSheet!$C$12))-1,"")</f>
        <v>45747</v>
      </c>
      <c r="N40" s="123">
        <f>IF(ISNUMBER(CoverSheet!$C$12),DATE(YEAR(CoverSheet!$C$12)+5,MONTH(CoverSheet!$C$12),DAY(CoverSheet!$C$12))-1,"")</f>
        <v>46112</v>
      </c>
      <c r="O40" s="123">
        <f>IF(ISNUMBER(CoverSheet!$C$12),DATE(YEAR(CoverSheet!$C$12)+6,MONTH(CoverSheet!$C$12),DAY(CoverSheet!$C$12))-1,"")</f>
        <v>46477</v>
      </c>
      <c r="P40" s="123">
        <f>IF(ISNUMBER(CoverSheet!$C$12),DATE(YEAR(CoverSheet!$C$12)+7,MONTH(CoverSheet!$C$12),DAY(CoverSheet!$C$12))-1,"")</f>
        <v>46843</v>
      </c>
      <c r="Q40" s="123">
        <f>IF(ISNUMBER(CoverSheet!$C$12),DATE(YEAR(CoverSheet!$C$12)+8,MONTH(CoverSheet!$C$12),DAY(CoverSheet!$C$12))-1,"")</f>
        <v>47208</v>
      </c>
      <c r="R40" s="123">
        <f>IF(ISNUMBER(CoverSheet!$C$12),DATE(YEAR(CoverSheet!$C$12)+9,MONTH(CoverSheet!$C$12),DAY(CoverSheet!$C$12))-1,"")</f>
        <v>47573</v>
      </c>
      <c r="S40" s="123">
        <f>IF(ISNUMBER(CoverSheet!$C$12),DATE(YEAR(CoverSheet!$C$12)+10,MONTH(CoverSheet!$C$12),DAY(CoverSheet!$C$12))-1,"")</f>
        <v>47938</v>
      </c>
      <c r="T40" s="134"/>
    </row>
    <row r="41" spans="1:20" customFormat="1" ht="30" customHeight="1" x14ac:dyDescent="0.25">
      <c r="A41" s="58">
        <v>41</v>
      </c>
      <c r="B41" s="118"/>
      <c r="C41" s="95" t="s">
        <v>95</v>
      </c>
      <c r="D41" s="96"/>
      <c r="E41" s="97"/>
      <c r="F41" s="105"/>
      <c r="G41" s="105"/>
      <c r="H41" s="102"/>
      <c r="I41" s="136" t="s">
        <v>182</v>
      </c>
      <c r="J41" s="102"/>
      <c r="K41" s="102"/>
      <c r="L41" s="102"/>
      <c r="M41" s="102"/>
      <c r="N41" s="102"/>
      <c r="O41" s="102"/>
      <c r="P41" s="102"/>
      <c r="Q41" s="102"/>
      <c r="R41" s="102"/>
      <c r="S41" s="102"/>
      <c r="T41" s="134"/>
    </row>
    <row r="42" spans="1:20" customFormat="1" ht="15" customHeight="1" x14ac:dyDescent="0.2">
      <c r="A42" s="58">
        <v>42</v>
      </c>
      <c r="B42" s="118"/>
      <c r="C42" s="96"/>
      <c r="D42" s="96"/>
      <c r="E42" s="98" t="s">
        <v>62</v>
      </c>
      <c r="F42" s="105"/>
      <c r="G42" s="105"/>
      <c r="H42" s="102"/>
      <c r="I42" s="171">
        <f t="shared" ref="I42:S42" si="6">I10-I22</f>
        <v>0</v>
      </c>
      <c r="J42" s="171">
        <f t="shared" si="6"/>
        <v>122.38957127759113</v>
      </c>
      <c r="K42" s="171">
        <f t="shared" si="6"/>
        <v>228.05206625398023</v>
      </c>
      <c r="L42" s="171">
        <f t="shared" si="6"/>
        <v>342.48884723094397</v>
      </c>
      <c r="M42" s="171">
        <f t="shared" si="6"/>
        <v>462.62135214015507</v>
      </c>
      <c r="N42" s="171">
        <f t="shared" si="6"/>
        <v>561.30502271565092</v>
      </c>
      <c r="O42" s="171">
        <f t="shared" si="6"/>
        <v>624.01267083200037</v>
      </c>
      <c r="P42" s="171">
        <f t="shared" si="6"/>
        <v>712.5302462974405</v>
      </c>
      <c r="Q42" s="171">
        <f t="shared" si="6"/>
        <v>801.25750178208909</v>
      </c>
      <c r="R42" s="171">
        <f t="shared" si="6"/>
        <v>890.37025082423952</v>
      </c>
      <c r="S42" s="171">
        <f t="shared" si="6"/>
        <v>989.88890464145879</v>
      </c>
      <c r="T42" s="134"/>
    </row>
    <row r="43" spans="1:20" customFormat="1" ht="15" customHeight="1" x14ac:dyDescent="0.2">
      <c r="A43" s="58">
        <v>43</v>
      </c>
      <c r="B43" s="118"/>
      <c r="C43" s="96"/>
      <c r="D43" s="96"/>
      <c r="E43" s="98" t="s">
        <v>61</v>
      </c>
      <c r="F43" s="105"/>
      <c r="G43" s="105"/>
      <c r="H43" s="102"/>
      <c r="I43" s="171">
        <f t="shared" ref="I43:S43" si="7">I11-I23</f>
        <v>0</v>
      </c>
      <c r="J43" s="171">
        <f t="shared" si="7"/>
        <v>133.70662015643848</v>
      </c>
      <c r="K43" s="171">
        <f t="shared" si="7"/>
        <v>247.15105936190866</v>
      </c>
      <c r="L43" s="171">
        <f t="shared" si="7"/>
        <v>275.8279883312307</v>
      </c>
      <c r="M43" s="171">
        <f t="shared" si="7"/>
        <v>369.52696567026169</v>
      </c>
      <c r="N43" s="171">
        <f t="shared" si="7"/>
        <v>444.76425604772749</v>
      </c>
      <c r="O43" s="171">
        <f t="shared" si="7"/>
        <v>533.49938083676534</v>
      </c>
      <c r="P43" s="171">
        <f t="shared" si="7"/>
        <v>587.8763549190212</v>
      </c>
      <c r="Q43" s="171">
        <f t="shared" si="7"/>
        <v>694.05872315989973</v>
      </c>
      <c r="R43" s="171">
        <f t="shared" si="7"/>
        <v>776.86756338940268</v>
      </c>
      <c r="S43" s="171">
        <f t="shared" si="7"/>
        <v>863.69977058770655</v>
      </c>
      <c r="T43" s="134"/>
    </row>
    <row r="44" spans="1:20" customFormat="1" ht="15" customHeight="1" x14ac:dyDescent="0.2">
      <c r="A44" s="58">
        <v>44</v>
      </c>
      <c r="B44" s="118"/>
      <c r="C44" s="96"/>
      <c r="D44" s="96"/>
      <c r="E44" s="98" t="s">
        <v>80</v>
      </c>
      <c r="F44" s="105"/>
      <c r="G44" s="105"/>
      <c r="H44" s="102"/>
      <c r="I44" s="171">
        <f t="shared" ref="I44:S44" si="8">I12-I24</f>
        <v>0</v>
      </c>
      <c r="J44" s="171">
        <f t="shared" si="8"/>
        <v>276.47944760319297</v>
      </c>
      <c r="K44" s="171">
        <f t="shared" si="8"/>
        <v>494.628817372497</v>
      </c>
      <c r="L44" s="171">
        <f t="shared" si="8"/>
        <v>755.73278096602371</v>
      </c>
      <c r="M44" s="171">
        <f t="shared" si="8"/>
        <v>924.5573437580224</v>
      </c>
      <c r="N44" s="171">
        <f t="shared" si="8"/>
        <v>1142.7291287202843</v>
      </c>
      <c r="O44" s="171">
        <f t="shared" si="8"/>
        <v>1272.5733276985084</v>
      </c>
      <c r="P44" s="171">
        <f t="shared" si="8"/>
        <v>1378.7719550888205</v>
      </c>
      <c r="Q44" s="171">
        <f t="shared" si="8"/>
        <v>1485.405497752392</v>
      </c>
      <c r="R44" s="171">
        <f t="shared" si="8"/>
        <v>1786.0412831073318</v>
      </c>
      <c r="S44" s="171">
        <f t="shared" si="8"/>
        <v>1983.9283333762942</v>
      </c>
      <c r="T44" s="134"/>
    </row>
    <row r="45" spans="1:20" customFormat="1" ht="15" customHeight="1" thickBot="1" x14ac:dyDescent="0.25">
      <c r="A45" s="58">
        <v>45</v>
      </c>
      <c r="B45" s="118"/>
      <c r="C45" s="96"/>
      <c r="D45" s="96"/>
      <c r="E45" s="98" t="s">
        <v>76</v>
      </c>
      <c r="F45" s="105"/>
      <c r="G45" s="105"/>
      <c r="H45" s="102"/>
      <c r="I45" s="171">
        <f t="shared" ref="I45:S45" si="9">I13-I25</f>
        <v>0</v>
      </c>
      <c r="J45" s="171">
        <f t="shared" si="9"/>
        <v>0</v>
      </c>
      <c r="K45" s="171">
        <f t="shared" si="9"/>
        <v>0</v>
      </c>
      <c r="L45" s="171">
        <f t="shared" si="9"/>
        <v>0</v>
      </c>
      <c r="M45" s="171">
        <f t="shared" si="9"/>
        <v>0</v>
      </c>
      <c r="N45" s="171">
        <f t="shared" si="9"/>
        <v>0</v>
      </c>
      <c r="O45" s="171">
        <f t="shared" si="9"/>
        <v>0</v>
      </c>
      <c r="P45" s="171">
        <f t="shared" si="9"/>
        <v>0</v>
      </c>
      <c r="Q45" s="171">
        <f t="shared" si="9"/>
        <v>0</v>
      </c>
      <c r="R45" s="171">
        <f t="shared" si="9"/>
        <v>0</v>
      </c>
      <c r="S45" s="171">
        <f t="shared" si="9"/>
        <v>0</v>
      </c>
      <c r="T45" s="134"/>
    </row>
    <row r="46" spans="1:20" s="74" customFormat="1" ht="15" customHeight="1" thickBot="1" x14ac:dyDescent="0.25">
      <c r="A46" s="58">
        <v>46</v>
      </c>
      <c r="B46" s="118"/>
      <c r="C46" s="96"/>
      <c r="D46" s="60" t="s">
        <v>216</v>
      </c>
      <c r="E46" s="60"/>
      <c r="F46" s="99"/>
      <c r="G46" s="99"/>
      <c r="H46" s="102"/>
      <c r="I46" s="175">
        <f>I14-I26</f>
        <v>0</v>
      </c>
      <c r="J46" s="175">
        <f t="shared" ref="J46:S46" si="10">J14-J26</f>
        <v>532.57563903722257</v>
      </c>
      <c r="K46" s="175">
        <f t="shared" si="10"/>
        <v>969.83194298838498</v>
      </c>
      <c r="L46" s="175">
        <f t="shared" si="10"/>
        <v>1374.0496165281984</v>
      </c>
      <c r="M46" s="175">
        <f t="shared" si="10"/>
        <v>1756.7056615684414</v>
      </c>
      <c r="N46" s="175">
        <f t="shared" si="10"/>
        <v>2148.7984074836604</v>
      </c>
      <c r="O46" s="175">
        <f t="shared" si="10"/>
        <v>2430.0853793672759</v>
      </c>
      <c r="P46" s="175">
        <f t="shared" si="10"/>
        <v>2679.1785563052799</v>
      </c>
      <c r="Q46" s="175">
        <f t="shared" si="10"/>
        <v>2980.7217226943831</v>
      </c>
      <c r="R46" s="175">
        <f t="shared" si="10"/>
        <v>3453.2790973209758</v>
      </c>
      <c r="S46" s="175">
        <f t="shared" si="10"/>
        <v>3837.5170086054586</v>
      </c>
      <c r="T46" s="134"/>
    </row>
    <row r="47" spans="1:20" customFormat="1" ht="15" customHeight="1" x14ac:dyDescent="0.2">
      <c r="A47" s="58">
        <v>47</v>
      </c>
      <c r="B47" s="118"/>
      <c r="C47" s="96"/>
      <c r="D47" s="96"/>
      <c r="E47" s="98" t="s">
        <v>93</v>
      </c>
      <c r="F47" s="105"/>
      <c r="G47" s="105"/>
      <c r="H47" s="102"/>
      <c r="I47" s="171">
        <f t="shared" ref="I47:S47" si="11">I15-I27</f>
        <v>0</v>
      </c>
      <c r="J47" s="171">
        <f t="shared" si="11"/>
        <v>389.46882551197632</v>
      </c>
      <c r="K47" s="171">
        <f t="shared" si="11"/>
        <v>786.48645036360176</v>
      </c>
      <c r="L47" s="171">
        <f t="shared" si="11"/>
        <v>1155.4162827066757</v>
      </c>
      <c r="M47" s="171">
        <f t="shared" si="11"/>
        <v>1620.7558498220678</v>
      </c>
      <c r="N47" s="171">
        <f t="shared" si="11"/>
        <v>1965.4140749034505</v>
      </c>
      <c r="O47" s="171">
        <f t="shared" si="11"/>
        <v>2360.2038174288391</v>
      </c>
      <c r="P47" s="171">
        <f t="shared" si="11"/>
        <v>2690.7304441085525</v>
      </c>
      <c r="Q47" s="171">
        <f t="shared" si="11"/>
        <v>3089.6822898319224</v>
      </c>
      <c r="R47" s="171">
        <f t="shared" si="11"/>
        <v>3502.3857634400338</v>
      </c>
      <c r="S47" s="171">
        <f t="shared" si="11"/>
        <v>3901.5764810064611</v>
      </c>
      <c r="T47" s="134"/>
    </row>
    <row r="48" spans="1:20" customFormat="1" ht="15" customHeight="1" thickBot="1" x14ac:dyDescent="0.25">
      <c r="A48" s="58">
        <v>48</v>
      </c>
      <c r="B48" s="118"/>
      <c r="C48" s="96"/>
      <c r="D48" s="96"/>
      <c r="E48" s="98" t="s">
        <v>60</v>
      </c>
      <c r="F48" s="105"/>
      <c r="G48" s="105"/>
      <c r="H48" s="102"/>
      <c r="I48" s="171">
        <f t="shared" ref="I48:S48" si="12">I16-I28</f>
        <v>0</v>
      </c>
      <c r="J48" s="171">
        <f t="shared" si="12"/>
        <v>388.90735257478264</v>
      </c>
      <c r="K48" s="171">
        <f t="shared" si="12"/>
        <v>769.56743437774276</v>
      </c>
      <c r="L48" s="171">
        <f t="shared" si="12"/>
        <v>1129.807884949154</v>
      </c>
      <c r="M48" s="171">
        <f t="shared" si="12"/>
        <v>1526.2106438598203</v>
      </c>
      <c r="N48" s="171">
        <f t="shared" si="12"/>
        <v>1890.5772571536454</v>
      </c>
      <c r="O48" s="171">
        <f t="shared" si="12"/>
        <v>2259.31578222811</v>
      </c>
      <c r="P48" s="171">
        <f t="shared" si="12"/>
        <v>2628.5148564935571</v>
      </c>
      <c r="Q48" s="171">
        <f t="shared" si="12"/>
        <v>3009.9390174835753</v>
      </c>
      <c r="R48" s="171">
        <f t="shared" si="12"/>
        <v>3403.9228651673275</v>
      </c>
      <c r="S48" s="171">
        <f t="shared" si="12"/>
        <v>3783.9402142296622</v>
      </c>
      <c r="T48" s="134"/>
    </row>
    <row r="49" spans="1:20" s="74" customFormat="1" ht="15" customHeight="1" thickBot="1" x14ac:dyDescent="0.25">
      <c r="A49" s="58">
        <v>49</v>
      </c>
      <c r="B49" s="118"/>
      <c r="C49" s="96"/>
      <c r="D49" s="60" t="s">
        <v>209</v>
      </c>
      <c r="E49" s="60"/>
      <c r="F49" s="99"/>
      <c r="G49" s="99"/>
      <c r="H49" s="102"/>
      <c r="I49" s="175">
        <f>I17-I29</f>
        <v>0</v>
      </c>
      <c r="J49" s="175">
        <f t="shared" ref="J49:S49" si="13">J17-J29</f>
        <v>778.37617808675714</v>
      </c>
      <c r="K49" s="175">
        <f t="shared" si="13"/>
        <v>1556.0538847413409</v>
      </c>
      <c r="L49" s="175">
        <f t="shared" si="13"/>
        <v>2285.224167655826</v>
      </c>
      <c r="M49" s="175">
        <f t="shared" si="13"/>
        <v>3146.9664936818881</v>
      </c>
      <c r="N49" s="175">
        <f t="shared" si="13"/>
        <v>3855.9913320570959</v>
      </c>
      <c r="O49" s="175">
        <f t="shared" si="13"/>
        <v>4619.5195996569491</v>
      </c>
      <c r="P49" s="175">
        <f t="shared" si="13"/>
        <v>5319.2453006021096</v>
      </c>
      <c r="Q49" s="175">
        <f t="shared" si="13"/>
        <v>6099.6213073155013</v>
      </c>
      <c r="R49" s="175">
        <f t="shared" si="13"/>
        <v>6906.3086286073594</v>
      </c>
      <c r="S49" s="175">
        <f t="shared" si="13"/>
        <v>7685.5166952361251</v>
      </c>
      <c r="T49" s="134"/>
    </row>
    <row r="50" spans="1:20" customFormat="1" ht="15" customHeight="1" thickBot="1" x14ac:dyDescent="0.25">
      <c r="A50" s="58">
        <v>50</v>
      </c>
      <c r="B50" s="118"/>
      <c r="C50" s="96"/>
      <c r="D50" s="116" t="s">
        <v>79</v>
      </c>
      <c r="E50" s="97"/>
      <c r="F50" s="105"/>
      <c r="G50" s="105"/>
      <c r="H50" s="102"/>
      <c r="I50" s="175">
        <f>I46+I49</f>
        <v>0</v>
      </c>
      <c r="J50" s="175">
        <f t="shared" ref="J50:S50" si="14">J46+J49</f>
        <v>1310.9518171239797</v>
      </c>
      <c r="K50" s="175">
        <f t="shared" si="14"/>
        <v>2525.8858277297259</v>
      </c>
      <c r="L50" s="175">
        <f t="shared" si="14"/>
        <v>3659.2737841840244</v>
      </c>
      <c r="M50" s="175">
        <f t="shared" si="14"/>
        <v>4903.6721552503295</v>
      </c>
      <c r="N50" s="175">
        <f t="shared" si="14"/>
        <v>6004.7897395407563</v>
      </c>
      <c r="O50" s="175">
        <f t="shared" si="14"/>
        <v>7049.604979024225</v>
      </c>
      <c r="P50" s="175">
        <f t="shared" si="14"/>
        <v>7998.4238569073896</v>
      </c>
      <c r="Q50" s="175">
        <f t="shared" si="14"/>
        <v>9080.3430300098844</v>
      </c>
      <c r="R50" s="175">
        <f t="shared" si="14"/>
        <v>10359.587725928335</v>
      </c>
      <c r="S50" s="175">
        <f t="shared" si="14"/>
        <v>11523.033703841584</v>
      </c>
      <c r="T50" s="134"/>
    </row>
    <row r="51" spans="1:20" customFormat="1" x14ac:dyDescent="0.2">
      <c r="A51" s="22"/>
      <c r="B51" s="121"/>
      <c r="C51" s="106"/>
      <c r="D51" s="106"/>
      <c r="E51" s="106"/>
      <c r="F51" s="106"/>
      <c r="G51" s="106"/>
      <c r="H51" s="106"/>
      <c r="I51" s="106"/>
      <c r="J51" s="106"/>
      <c r="K51" s="106"/>
      <c r="L51" s="106"/>
      <c r="M51" s="106"/>
      <c r="N51" s="106"/>
      <c r="O51" s="106"/>
      <c r="P51" s="106"/>
      <c r="Q51" s="106"/>
      <c r="R51" s="106"/>
      <c r="S51" s="106"/>
      <c r="T51" s="137"/>
    </row>
  </sheetData>
  <sheetProtection formatRows="0" insertRows="0"/>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xr:uid="{00000000-0002-0000-0400-000000000000}">
      <formula1>OR(AND(ISNUMBER(I33),I33&gt;=0),AND(ISTEXT(I33),I33="N/A"))</formula1>
    </dataValidation>
  </dataValidations>
  <pageMargins left="0.70866141732283472" right="0.70866141732283472" top="0.74803149606299213" bottom="0.74803149606299213" header="0.31496062992125989" footer="0.31496062992125989"/>
  <pageSetup paperSize="9" scale="46" orientation="landscape" cellComments="asDisplayed" r:id="rId2"/>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80" zoomScaleNormal="100" zoomScaleSheetLayoutView="80" workbookViewId="0">
      <selection activeCell="R47" sqref="R47"/>
    </sheetView>
  </sheetViews>
  <sheetFormatPr defaultRowHeight="12.75" x14ac:dyDescent="0.2"/>
  <cols>
    <col min="1" max="1" width="4.5703125" style="19" customWidth="1"/>
    <col min="2" max="2" width="3.140625" style="51" customWidth="1"/>
    <col min="3" max="3" width="8.140625" style="10" customWidth="1"/>
    <col min="4" max="4" width="27.5703125" style="11" customWidth="1"/>
    <col min="5" max="5" width="59.42578125" style="15" customWidth="1"/>
    <col min="6" max="6" width="7" style="15" customWidth="1"/>
    <col min="7" max="7" width="13.140625" style="10" customWidth="1"/>
    <col min="8" max="8" width="13.140625" style="16" customWidth="1"/>
    <col min="9" max="11" width="13.140625" style="10" customWidth="1"/>
    <col min="12" max="12" width="13.140625" style="256" customWidth="1"/>
    <col min="13" max="13" width="13.140625" style="66" customWidth="1"/>
    <col min="14" max="14" width="13.140625" style="17" customWidth="1"/>
    <col min="15" max="15" width="2.5703125" style="10" customWidth="1"/>
    <col min="16" max="16384" width="9.140625" style="10"/>
  </cols>
  <sheetData>
    <row r="1" spans="1:15" ht="15" customHeight="1" x14ac:dyDescent="0.2">
      <c r="A1" s="160"/>
      <c r="B1" s="31"/>
      <c r="C1" s="31"/>
      <c r="D1" s="31"/>
      <c r="E1" s="31"/>
      <c r="F1" s="31"/>
      <c r="G1" s="31"/>
      <c r="H1" s="31"/>
      <c r="I1" s="31"/>
      <c r="J1" s="39"/>
      <c r="K1" s="31"/>
      <c r="L1" s="31"/>
      <c r="M1" s="31"/>
      <c r="N1" s="31"/>
      <c r="O1" s="32"/>
    </row>
    <row r="2" spans="1:15" ht="18" customHeight="1" x14ac:dyDescent="0.3">
      <c r="A2" s="161"/>
      <c r="B2" s="86"/>
      <c r="C2" s="86"/>
      <c r="D2" s="86"/>
      <c r="E2" s="86"/>
      <c r="F2" s="86"/>
      <c r="G2" s="86"/>
      <c r="H2" s="86"/>
      <c r="I2" s="86"/>
      <c r="J2" s="42" t="s">
        <v>7</v>
      </c>
      <c r="K2" s="280" t="str">
        <f>IF(NOT(ISBLANK(CoverSheet!$C$8)),CoverSheet!$C$8,"")</f>
        <v>Aurora Energy Limited</v>
      </c>
      <c r="L2" s="280"/>
      <c r="M2" s="280"/>
      <c r="N2" s="280"/>
      <c r="O2" s="25"/>
    </row>
    <row r="3" spans="1:15" ht="18" customHeight="1" x14ac:dyDescent="0.25">
      <c r="A3" s="161"/>
      <c r="B3" s="86"/>
      <c r="C3" s="86"/>
      <c r="D3" s="86"/>
      <c r="E3" s="86"/>
      <c r="F3" s="86"/>
      <c r="G3" s="86"/>
      <c r="H3" s="86"/>
      <c r="I3" s="86"/>
      <c r="J3" s="42" t="s">
        <v>81</v>
      </c>
      <c r="K3" s="281" t="str">
        <f>IF(ISNUMBER(CoverSheet!$C$12),TEXT(CoverSheet!$C$12,"_([$-1409]d mmmm yyyy;_(@")&amp;" –"&amp;TEXT(DATE(YEAR(CoverSheet!$C$12)+10,MONTH(CoverSheet!$C$12),DAY(CoverSheet!$C$12)-1),"_([$-1409]d mmmm yyyy;_(@"),"")</f>
        <v xml:space="preserve"> 1 April 2021 – 31 March 2031</v>
      </c>
      <c r="L3" s="281"/>
      <c r="M3" s="281"/>
      <c r="N3" s="281"/>
      <c r="O3" s="25"/>
    </row>
    <row r="4" spans="1:15" ht="21" x14ac:dyDescent="0.35">
      <c r="A4" s="149" t="s">
        <v>158</v>
      </c>
      <c r="B4" s="84"/>
      <c r="C4" s="86"/>
      <c r="D4" s="86"/>
      <c r="E4" s="86"/>
      <c r="F4" s="86"/>
      <c r="G4" s="86"/>
      <c r="H4" s="86"/>
      <c r="I4" s="86"/>
      <c r="J4" s="86"/>
      <c r="K4" s="86"/>
      <c r="L4" s="148"/>
      <c r="M4" s="86"/>
      <c r="N4" s="86"/>
      <c r="O4" s="25"/>
    </row>
    <row r="5" spans="1:15" s="113" customFormat="1" ht="49.5" customHeight="1" x14ac:dyDescent="0.2">
      <c r="A5" s="277" t="s">
        <v>236</v>
      </c>
      <c r="B5" s="278"/>
      <c r="C5" s="278"/>
      <c r="D5" s="278"/>
      <c r="E5" s="278"/>
      <c r="F5" s="278"/>
      <c r="G5" s="278"/>
      <c r="H5" s="278"/>
      <c r="I5" s="278"/>
      <c r="J5" s="278"/>
      <c r="K5" s="278"/>
      <c r="L5" s="278"/>
      <c r="M5" s="278"/>
      <c r="N5" s="278"/>
      <c r="O5" s="107"/>
    </row>
    <row r="6" spans="1:15" ht="15" customHeight="1" x14ac:dyDescent="0.2">
      <c r="A6" s="162" t="s">
        <v>240</v>
      </c>
      <c r="B6" s="56"/>
      <c r="C6" s="56"/>
      <c r="D6" s="86"/>
      <c r="E6" s="86"/>
      <c r="F6" s="86"/>
      <c r="G6" s="86"/>
      <c r="H6" s="86"/>
      <c r="I6" s="86"/>
      <c r="J6" s="86"/>
      <c r="K6" s="86"/>
      <c r="L6" s="148"/>
      <c r="M6" s="86"/>
      <c r="N6" s="86"/>
      <c r="O6" s="25"/>
    </row>
    <row r="7" spans="1:15" ht="15.75" x14ac:dyDescent="0.25">
      <c r="A7" s="163">
        <v>7</v>
      </c>
      <c r="B7" s="93"/>
      <c r="C7" s="102"/>
      <c r="D7" s="102"/>
      <c r="E7" s="102"/>
      <c r="F7" s="102"/>
      <c r="G7" s="283" t="s">
        <v>210</v>
      </c>
      <c r="H7" s="283"/>
      <c r="I7" s="283"/>
      <c r="J7" s="283"/>
      <c r="K7" s="283"/>
      <c r="L7" s="283"/>
      <c r="M7" s="283"/>
      <c r="N7" s="283"/>
      <c r="O7" s="20"/>
    </row>
    <row r="8" spans="1:15" s="66" customFormat="1" ht="15.75" x14ac:dyDescent="0.25">
      <c r="A8" s="163">
        <v>8</v>
      </c>
      <c r="B8" s="93"/>
      <c r="C8" s="102"/>
      <c r="D8" s="102"/>
      <c r="E8" s="102"/>
      <c r="F8" s="102"/>
      <c r="G8" s="111"/>
      <c r="H8" s="111"/>
      <c r="I8" s="111"/>
      <c r="J8" s="111"/>
      <c r="K8" s="111"/>
      <c r="L8" s="258"/>
      <c r="M8" s="102"/>
      <c r="N8" s="284" t="s">
        <v>211</v>
      </c>
      <c r="O8" s="20"/>
    </row>
    <row r="9" spans="1:15" s="13" customFormat="1" ht="49.5" customHeight="1" x14ac:dyDescent="0.2">
      <c r="A9" s="163">
        <v>9</v>
      </c>
      <c r="B9" s="94"/>
      <c r="C9" s="139" t="s">
        <v>14</v>
      </c>
      <c r="D9" s="139" t="s">
        <v>2</v>
      </c>
      <c r="E9" s="139" t="s">
        <v>15</v>
      </c>
      <c r="F9" s="133" t="s">
        <v>68</v>
      </c>
      <c r="G9" s="262" t="s">
        <v>306</v>
      </c>
      <c r="H9" s="262" t="s">
        <v>307</v>
      </c>
      <c r="I9" s="262" t="s">
        <v>308</v>
      </c>
      <c r="J9" s="262" t="s">
        <v>309</v>
      </c>
      <c r="K9" s="262" t="s">
        <v>310</v>
      </c>
      <c r="L9" s="257" t="s">
        <v>305</v>
      </c>
      <c r="M9" s="133" t="s">
        <v>65</v>
      </c>
      <c r="N9" s="285"/>
      <c r="O9" s="29"/>
    </row>
    <row r="10" spans="1:15" ht="15" customHeight="1" x14ac:dyDescent="0.25">
      <c r="A10" s="163">
        <v>10</v>
      </c>
      <c r="B10" s="93"/>
      <c r="C10" s="98" t="s">
        <v>16</v>
      </c>
      <c r="D10" s="98" t="s">
        <v>99</v>
      </c>
      <c r="E10" s="98" t="s">
        <v>17</v>
      </c>
      <c r="F10" s="100" t="s">
        <v>18</v>
      </c>
      <c r="G10" s="181">
        <v>2.1711597611724263E-4</v>
      </c>
      <c r="H10" s="181">
        <v>7.2371992039080876E-5</v>
      </c>
      <c r="I10" s="181">
        <v>3.1843676497195585E-3</v>
      </c>
      <c r="J10" s="181">
        <v>0.18154514203003438</v>
      </c>
      <c r="K10" s="181">
        <v>0.8149810023520897</v>
      </c>
      <c r="L10" s="181"/>
      <c r="M10" s="267">
        <v>3</v>
      </c>
      <c r="N10" s="181">
        <v>2.2797177492310475E-3</v>
      </c>
      <c r="O10" s="20"/>
    </row>
    <row r="11" spans="1:15" ht="15" customHeight="1" x14ac:dyDescent="0.25">
      <c r="A11" s="163">
        <v>11</v>
      </c>
      <c r="B11" s="93"/>
      <c r="C11" s="98" t="s">
        <v>16</v>
      </c>
      <c r="D11" s="98" t="s">
        <v>99</v>
      </c>
      <c r="E11" s="98" t="s">
        <v>19</v>
      </c>
      <c r="F11" s="100" t="s">
        <v>18</v>
      </c>
      <c r="G11" s="181">
        <v>0.15541530944625406</v>
      </c>
      <c r="H11" s="181">
        <v>6.313748369112708E-2</v>
      </c>
      <c r="I11" s="181">
        <v>0.1839093017292783</v>
      </c>
      <c r="J11" s="181">
        <v>0.29445567335102202</v>
      </c>
      <c r="K11" s="181">
        <v>0.30308223178231852</v>
      </c>
      <c r="L11" s="181"/>
      <c r="M11" s="267">
        <v>3</v>
      </c>
      <c r="N11" s="181">
        <v>0.18049674267100976</v>
      </c>
      <c r="O11" s="20"/>
    </row>
    <row r="12" spans="1:15" ht="15" customHeight="1" x14ac:dyDescent="0.25">
      <c r="A12" s="163">
        <v>12</v>
      </c>
      <c r="B12" s="93"/>
      <c r="C12" s="98" t="s">
        <v>16</v>
      </c>
      <c r="D12" s="98" t="s">
        <v>99</v>
      </c>
      <c r="E12" s="98" t="s">
        <v>20</v>
      </c>
      <c r="F12" s="100" t="s">
        <v>18</v>
      </c>
      <c r="G12" s="181"/>
      <c r="H12" s="181"/>
      <c r="I12" s="181"/>
      <c r="J12" s="181"/>
      <c r="K12" s="181"/>
      <c r="L12" s="181"/>
      <c r="M12" s="267" t="s">
        <v>386</v>
      </c>
      <c r="N12" s="181"/>
      <c r="O12" s="20"/>
    </row>
    <row r="13" spans="1:15" ht="15" customHeight="1" x14ac:dyDescent="0.25">
      <c r="A13" s="163">
        <v>13</v>
      </c>
      <c r="B13" s="93"/>
      <c r="C13" s="98" t="s">
        <v>22</v>
      </c>
      <c r="D13" s="98" t="s">
        <v>100</v>
      </c>
      <c r="E13" s="98" t="s">
        <v>23</v>
      </c>
      <c r="F13" s="100" t="s">
        <v>24</v>
      </c>
      <c r="G13" s="181">
        <v>5.5390576946107526E-3</v>
      </c>
      <c r="H13" s="181">
        <v>8.4650051146875141E-3</v>
      </c>
      <c r="I13" s="181">
        <v>0.20444827570473542</v>
      </c>
      <c r="J13" s="181">
        <v>5.8426937476375784E-2</v>
      </c>
      <c r="K13" s="181">
        <v>0.72312072400959071</v>
      </c>
      <c r="L13" s="181"/>
      <c r="M13" s="267">
        <v>2</v>
      </c>
      <c r="N13" s="181">
        <v>0.18243694158116541</v>
      </c>
      <c r="O13" s="20"/>
    </row>
    <row r="14" spans="1:15" ht="15" customHeight="1" x14ac:dyDescent="0.25">
      <c r="A14" s="163">
        <v>14</v>
      </c>
      <c r="B14" s="93"/>
      <c r="C14" s="98" t="s">
        <v>22</v>
      </c>
      <c r="D14" s="98" t="s">
        <v>100</v>
      </c>
      <c r="E14" s="98" t="s">
        <v>25</v>
      </c>
      <c r="F14" s="100" t="s">
        <v>24</v>
      </c>
      <c r="G14" s="181"/>
      <c r="H14" s="181"/>
      <c r="I14" s="181"/>
      <c r="J14" s="181"/>
      <c r="K14" s="181"/>
      <c r="L14" s="181"/>
      <c r="M14" s="267" t="s">
        <v>386</v>
      </c>
      <c r="N14" s="181"/>
      <c r="O14" s="20"/>
    </row>
    <row r="15" spans="1:15" ht="15" customHeight="1" x14ac:dyDescent="0.25">
      <c r="A15" s="163">
        <v>15</v>
      </c>
      <c r="B15" s="93"/>
      <c r="C15" s="98" t="s">
        <v>22</v>
      </c>
      <c r="D15" s="98" t="s">
        <v>101</v>
      </c>
      <c r="E15" s="98" t="s">
        <v>26</v>
      </c>
      <c r="F15" s="100" t="s">
        <v>24</v>
      </c>
      <c r="G15" s="181">
        <v>0</v>
      </c>
      <c r="H15" s="181">
        <v>0</v>
      </c>
      <c r="I15" s="181">
        <v>0</v>
      </c>
      <c r="J15" s="181">
        <v>1.8175743242705173E-2</v>
      </c>
      <c r="K15" s="181">
        <v>0.9818242567572949</v>
      </c>
      <c r="L15" s="181"/>
      <c r="M15" s="267">
        <v>3</v>
      </c>
      <c r="N15" s="181">
        <v>0</v>
      </c>
      <c r="O15" s="20"/>
    </row>
    <row r="16" spans="1:15" ht="15" customHeight="1" x14ac:dyDescent="0.25">
      <c r="A16" s="163">
        <v>16</v>
      </c>
      <c r="B16" s="93"/>
      <c r="C16" s="98" t="s">
        <v>22</v>
      </c>
      <c r="D16" s="98" t="s">
        <v>101</v>
      </c>
      <c r="E16" s="98" t="s">
        <v>27</v>
      </c>
      <c r="F16" s="100" t="s">
        <v>24</v>
      </c>
      <c r="G16" s="181">
        <v>0</v>
      </c>
      <c r="H16" s="181">
        <v>0</v>
      </c>
      <c r="I16" s="181">
        <v>0.66458769003977403</v>
      </c>
      <c r="J16" s="181">
        <v>0.33541230996022597</v>
      </c>
      <c r="K16" s="181">
        <v>0</v>
      </c>
      <c r="L16" s="181"/>
      <c r="M16" s="267">
        <v>3</v>
      </c>
      <c r="N16" s="181">
        <v>0.33152684165997709</v>
      </c>
      <c r="O16" s="20"/>
    </row>
    <row r="17" spans="1:15" ht="15" customHeight="1" x14ac:dyDescent="0.25">
      <c r="A17" s="163">
        <v>17</v>
      </c>
      <c r="B17" s="93"/>
      <c r="C17" s="98" t="s">
        <v>22</v>
      </c>
      <c r="D17" s="98" t="s">
        <v>101</v>
      </c>
      <c r="E17" s="98" t="s">
        <v>28</v>
      </c>
      <c r="F17" s="100" t="s">
        <v>24</v>
      </c>
      <c r="G17" s="181">
        <v>0.34951827483708015</v>
      </c>
      <c r="H17" s="181">
        <v>0</v>
      </c>
      <c r="I17" s="181">
        <v>0.37128315052302574</v>
      </c>
      <c r="J17" s="181">
        <v>0</v>
      </c>
      <c r="K17" s="181">
        <v>0.27919857463989417</v>
      </c>
      <c r="L17" s="181"/>
      <c r="M17" s="267">
        <v>3</v>
      </c>
      <c r="N17" s="181">
        <v>0</v>
      </c>
      <c r="O17" s="20"/>
    </row>
    <row r="18" spans="1:15" ht="15" customHeight="1" x14ac:dyDescent="0.25">
      <c r="A18" s="163">
        <v>18</v>
      </c>
      <c r="B18" s="93"/>
      <c r="C18" s="98" t="s">
        <v>22</v>
      </c>
      <c r="D18" s="98" t="s">
        <v>101</v>
      </c>
      <c r="E18" s="98" t="s">
        <v>29</v>
      </c>
      <c r="F18" s="100" t="s">
        <v>24</v>
      </c>
      <c r="G18" s="181">
        <v>0</v>
      </c>
      <c r="H18" s="181">
        <v>0.50002855623909281</v>
      </c>
      <c r="I18" s="181">
        <v>0</v>
      </c>
      <c r="J18" s="181">
        <v>0.32973268547638296</v>
      </c>
      <c r="K18" s="181">
        <v>0.17023875828452431</v>
      </c>
      <c r="L18" s="181"/>
      <c r="M18" s="267">
        <v>3</v>
      </c>
      <c r="N18" s="181">
        <v>0.50002855623909281</v>
      </c>
      <c r="O18" s="20"/>
    </row>
    <row r="19" spans="1:15" ht="15" customHeight="1" x14ac:dyDescent="0.25">
      <c r="A19" s="163">
        <v>19</v>
      </c>
      <c r="B19" s="93"/>
      <c r="C19" s="98" t="s">
        <v>22</v>
      </c>
      <c r="D19" s="98" t="s">
        <v>101</v>
      </c>
      <c r="E19" s="98" t="s">
        <v>30</v>
      </c>
      <c r="F19" s="100" t="s">
        <v>24</v>
      </c>
      <c r="G19" s="181"/>
      <c r="H19" s="181"/>
      <c r="I19" s="181"/>
      <c r="J19" s="181"/>
      <c r="K19" s="181"/>
      <c r="L19" s="181"/>
      <c r="M19" s="267" t="s">
        <v>386</v>
      </c>
      <c r="N19" s="181"/>
      <c r="O19" s="20"/>
    </row>
    <row r="20" spans="1:15" ht="15" customHeight="1" x14ac:dyDescent="0.25">
      <c r="A20" s="163">
        <v>20</v>
      </c>
      <c r="B20" s="93"/>
      <c r="C20" s="98" t="s">
        <v>22</v>
      </c>
      <c r="D20" s="98" t="s">
        <v>101</v>
      </c>
      <c r="E20" s="98" t="s">
        <v>31</v>
      </c>
      <c r="F20" s="100" t="s">
        <v>24</v>
      </c>
      <c r="G20" s="181"/>
      <c r="H20" s="181"/>
      <c r="I20" s="181"/>
      <c r="J20" s="181"/>
      <c r="K20" s="181"/>
      <c r="L20" s="181"/>
      <c r="M20" s="267" t="s">
        <v>386</v>
      </c>
      <c r="N20" s="181"/>
      <c r="O20" s="20"/>
    </row>
    <row r="21" spans="1:15" ht="15" customHeight="1" x14ac:dyDescent="0.25">
      <c r="A21" s="163">
        <v>21</v>
      </c>
      <c r="B21" s="93"/>
      <c r="C21" s="98" t="s">
        <v>22</v>
      </c>
      <c r="D21" s="98" t="s">
        <v>101</v>
      </c>
      <c r="E21" s="98" t="s">
        <v>32</v>
      </c>
      <c r="F21" s="100" t="s">
        <v>24</v>
      </c>
      <c r="G21" s="181"/>
      <c r="H21" s="181"/>
      <c r="I21" s="181"/>
      <c r="J21" s="181"/>
      <c r="K21" s="181"/>
      <c r="L21" s="181"/>
      <c r="M21" s="267" t="s">
        <v>386</v>
      </c>
      <c r="N21" s="181"/>
      <c r="O21" s="20"/>
    </row>
    <row r="22" spans="1:15" ht="15" customHeight="1" x14ac:dyDescent="0.25">
      <c r="A22" s="163">
        <v>22</v>
      </c>
      <c r="B22" s="93"/>
      <c r="C22" s="98" t="s">
        <v>22</v>
      </c>
      <c r="D22" s="98" t="s">
        <v>101</v>
      </c>
      <c r="E22" s="98" t="s">
        <v>33</v>
      </c>
      <c r="F22" s="100" t="s">
        <v>24</v>
      </c>
      <c r="G22" s="181"/>
      <c r="H22" s="181"/>
      <c r="I22" s="181"/>
      <c r="J22" s="181"/>
      <c r="K22" s="181"/>
      <c r="L22" s="181"/>
      <c r="M22" s="267" t="s">
        <v>386</v>
      </c>
      <c r="N22" s="181"/>
      <c r="O22" s="20"/>
    </row>
    <row r="23" spans="1:15" ht="15" customHeight="1" x14ac:dyDescent="0.25">
      <c r="A23" s="163">
        <v>23</v>
      </c>
      <c r="B23" s="93"/>
      <c r="C23" s="98" t="s">
        <v>22</v>
      </c>
      <c r="D23" s="98" t="s">
        <v>101</v>
      </c>
      <c r="E23" s="98" t="s">
        <v>34</v>
      </c>
      <c r="F23" s="100" t="s">
        <v>24</v>
      </c>
      <c r="G23" s="181"/>
      <c r="H23" s="181"/>
      <c r="I23" s="181"/>
      <c r="J23" s="181"/>
      <c r="K23" s="181"/>
      <c r="L23" s="181"/>
      <c r="M23" s="267" t="s">
        <v>386</v>
      </c>
      <c r="N23" s="181"/>
      <c r="O23" s="20"/>
    </row>
    <row r="24" spans="1:15" ht="15" customHeight="1" x14ac:dyDescent="0.25">
      <c r="A24" s="163">
        <v>24</v>
      </c>
      <c r="B24" s="93"/>
      <c r="C24" s="98" t="s">
        <v>22</v>
      </c>
      <c r="D24" s="98" t="s">
        <v>102</v>
      </c>
      <c r="E24" s="98" t="s">
        <v>35</v>
      </c>
      <c r="F24" s="100" t="s">
        <v>18</v>
      </c>
      <c r="G24" s="181">
        <v>6.0606060606060608E-2</v>
      </c>
      <c r="H24" s="181">
        <v>0</v>
      </c>
      <c r="I24" s="181">
        <v>0.30303030303030304</v>
      </c>
      <c r="J24" s="181">
        <v>9.0909090909090912E-2</v>
      </c>
      <c r="K24" s="181">
        <v>0.54545454545454541</v>
      </c>
      <c r="L24" s="181"/>
      <c r="M24" s="267">
        <v>2</v>
      </c>
      <c r="N24" s="181">
        <v>9.0909090909090912E-2</v>
      </c>
      <c r="O24" s="20"/>
    </row>
    <row r="25" spans="1:15" ht="15" customHeight="1" x14ac:dyDescent="0.25">
      <c r="A25" s="163">
        <v>25</v>
      </c>
      <c r="B25" s="93"/>
      <c r="C25" s="98" t="s">
        <v>22</v>
      </c>
      <c r="D25" s="98" t="s">
        <v>102</v>
      </c>
      <c r="E25" s="98" t="s">
        <v>36</v>
      </c>
      <c r="F25" s="100" t="s">
        <v>18</v>
      </c>
      <c r="G25" s="181"/>
      <c r="H25" s="181"/>
      <c r="I25" s="181"/>
      <c r="J25" s="181"/>
      <c r="K25" s="181"/>
      <c r="L25" s="181"/>
      <c r="M25" s="267" t="s">
        <v>386</v>
      </c>
      <c r="N25" s="181">
        <v>0</v>
      </c>
      <c r="O25" s="20"/>
    </row>
    <row r="26" spans="1:15" ht="15" customHeight="1" x14ac:dyDescent="0.25">
      <c r="A26" s="163">
        <v>26</v>
      </c>
      <c r="B26" s="93"/>
      <c r="C26" s="98" t="s">
        <v>22</v>
      </c>
      <c r="D26" s="98" t="s">
        <v>103</v>
      </c>
      <c r="E26" s="98" t="s">
        <v>104</v>
      </c>
      <c r="F26" s="100" t="s">
        <v>18</v>
      </c>
      <c r="G26" s="181">
        <v>0</v>
      </c>
      <c r="H26" s="181">
        <v>0</v>
      </c>
      <c r="I26" s="181">
        <v>0</v>
      </c>
      <c r="J26" s="181">
        <v>0</v>
      </c>
      <c r="K26" s="181">
        <v>1</v>
      </c>
      <c r="L26" s="181"/>
      <c r="M26" s="267">
        <v>3</v>
      </c>
      <c r="N26" s="181">
        <v>0</v>
      </c>
      <c r="O26" s="20"/>
    </row>
    <row r="27" spans="1:15" ht="15" customHeight="1" x14ac:dyDescent="0.25">
      <c r="A27" s="163">
        <v>27</v>
      </c>
      <c r="B27" s="93"/>
      <c r="C27" s="98" t="s">
        <v>22</v>
      </c>
      <c r="D27" s="98" t="s">
        <v>103</v>
      </c>
      <c r="E27" s="98" t="s">
        <v>105</v>
      </c>
      <c r="F27" s="100" t="s">
        <v>18</v>
      </c>
      <c r="G27" s="181">
        <v>0.46</v>
      </c>
      <c r="H27" s="181">
        <v>0</v>
      </c>
      <c r="I27" s="181">
        <v>0</v>
      </c>
      <c r="J27" s="181">
        <v>0.1</v>
      </c>
      <c r="K27" s="181">
        <v>0.44</v>
      </c>
      <c r="L27" s="181"/>
      <c r="M27" s="267">
        <v>2</v>
      </c>
      <c r="N27" s="181">
        <v>0.22</v>
      </c>
      <c r="O27" s="20"/>
    </row>
    <row r="28" spans="1:15" ht="15" customHeight="1" x14ac:dyDescent="0.25">
      <c r="A28" s="163">
        <v>28</v>
      </c>
      <c r="B28" s="93"/>
      <c r="C28" s="98" t="s">
        <v>22</v>
      </c>
      <c r="D28" s="98" t="s">
        <v>103</v>
      </c>
      <c r="E28" s="98" t="s">
        <v>106</v>
      </c>
      <c r="F28" s="100" t="s">
        <v>18</v>
      </c>
      <c r="G28" s="181"/>
      <c r="H28" s="181"/>
      <c r="I28" s="181"/>
      <c r="J28" s="181"/>
      <c r="K28" s="181"/>
      <c r="L28" s="181"/>
      <c r="M28" s="267" t="s">
        <v>386</v>
      </c>
      <c r="N28" s="181"/>
      <c r="O28" s="20"/>
    </row>
    <row r="29" spans="1:15" ht="15" customHeight="1" x14ac:dyDescent="0.25">
      <c r="A29" s="163">
        <v>29</v>
      </c>
      <c r="B29" s="93"/>
      <c r="C29" s="98" t="s">
        <v>22</v>
      </c>
      <c r="D29" s="98" t="s">
        <v>103</v>
      </c>
      <c r="E29" s="98" t="s">
        <v>107</v>
      </c>
      <c r="F29" s="100" t="s">
        <v>18</v>
      </c>
      <c r="G29" s="181"/>
      <c r="H29" s="181"/>
      <c r="I29" s="181"/>
      <c r="J29" s="181"/>
      <c r="K29" s="181"/>
      <c r="L29" s="181"/>
      <c r="M29" s="267" t="s">
        <v>386</v>
      </c>
      <c r="N29" s="181"/>
      <c r="O29" s="20"/>
    </row>
    <row r="30" spans="1:15" ht="15" customHeight="1" x14ac:dyDescent="0.25">
      <c r="A30" s="163">
        <v>30</v>
      </c>
      <c r="B30" s="93"/>
      <c r="C30" s="98" t="s">
        <v>22</v>
      </c>
      <c r="D30" s="98" t="s">
        <v>103</v>
      </c>
      <c r="E30" s="98" t="s">
        <v>37</v>
      </c>
      <c r="F30" s="100" t="s">
        <v>18</v>
      </c>
      <c r="G30" s="181"/>
      <c r="H30" s="181"/>
      <c r="I30" s="181"/>
      <c r="J30" s="181"/>
      <c r="K30" s="181"/>
      <c r="L30" s="181"/>
      <c r="M30" s="165" t="s">
        <v>386</v>
      </c>
      <c r="N30" s="181"/>
      <c r="O30" s="20"/>
    </row>
    <row r="31" spans="1:15" ht="15" customHeight="1" x14ac:dyDescent="0.25">
      <c r="A31" s="163">
        <v>31</v>
      </c>
      <c r="B31" s="93"/>
      <c r="C31" s="98" t="s">
        <v>22</v>
      </c>
      <c r="D31" s="98" t="s">
        <v>103</v>
      </c>
      <c r="E31" s="98" t="s">
        <v>108</v>
      </c>
      <c r="F31" s="100" t="s">
        <v>18</v>
      </c>
      <c r="G31" s="181"/>
      <c r="H31" s="181"/>
      <c r="I31" s="181"/>
      <c r="J31" s="181"/>
      <c r="K31" s="181"/>
      <c r="L31" s="181"/>
      <c r="M31" s="165" t="s">
        <v>386</v>
      </c>
      <c r="N31" s="181"/>
      <c r="O31" s="20"/>
    </row>
    <row r="32" spans="1:15" ht="15" customHeight="1" x14ac:dyDescent="0.25">
      <c r="A32" s="163">
        <v>32</v>
      </c>
      <c r="B32" s="93"/>
      <c r="C32" s="98" t="s">
        <v>22</v>
      </c>
      <c r="D32" s="98" t="s">
        <v>103</v>
      </c>
      <c r="E32" s="98" t="s">
        <v>109</v>
      </c>
      <c r="F32" s="100" t="s">
        <v>18</v>
      </c>
      <c r="G32" s="181">
        <v>0</v>
      </c>
      <c r="H32" s="181">
        <v>0</v>
      </c>
      <c r="I32" s="181">
        <v>0</v>
      </c>
      <c r="J32" s="181">
        <v>0</v>
      </c>
      <c r="K32" s="181">
        <v>1</v>
      </c>
      <c r="L32" s="181"/>
      <c r="M32" s="165">
        <v>3</v>
      </c>
      <c r="N32" s="181">
        <v>0</v>
      </c>
      <c r="O32" s="20"/>
    </row>
    <row r="33" spans="1:15" ht="15" customHeight="1" x14ac:dyDescent="0.25">
      <c r="A33" s="163">
        <v>33</v>
      </c>
      <c r="B33" s="93"/>
      <c r="C33" s="98" t="s">
        <v>22</v>
      </c>
      <c r="D33" s="98" t="s">
        <v>103</v>
      </c>
      <c r="E33" s="98" t="s">
        <v>110</v>
      </c>
      <c r="F33" s="100" t="s">
        <v>18</v>
      </c>
      <c r="G33" s="181">
        <v>0.19154929577464788</v>
      </c>
      <c r="H33" s="181">
        <v>3.0985915492957747E-2</v>
      </c>
      <c r="I33" s="181">
        <v>0.11267605633802817</v>
      </c>
      <c r="J33" s="181">
        <v>0.12676056338028169</v>
      </c>
      <c r="K33" s="181">
        <v>0.53802816901408446</v>
      </c>
      <c r="L33" s="181"/>
      <c r="M33" s="267">
        <v>3</v>
      </c>
      <c r="N33" s="181">
        <v>0.25958702064896755</v>
      </c>
      <c r="O33" s="20"/>
    </row>
    <row r="34" spans="1:15" ht="15" customHeight="1" x14ac:dyDescent="0.25">
      <c r="A34" s="163">
        <v>34</v>
      </c>
      <c r="B34" s="93"/>
      <c r="C34" s="98" t="s">
        <v>22</v>
      </c>
      <c r="D34" s="98" t="s">
        <v>103</v>
      </c>
      <c r="E34" s="98" t="s">
        <v>111</v>
      </c>
      <c r="F34" s="100" t="s">
        <v>18</v>
      </c>
      <c r="G34" s="181">
        <v>0.31578947368421051</v>
      </c>
      <c r="H34" s="181">
        <v>0</v>
      </c>
      <c r="I34" s="181">
        <v>2.6315789473684209E-2</v>
      </c>
      <c r="J34" s="181">
        <v>0.18421052631578946</v>
      </c>
      <c r="K34" s="181">
        <v>0.47368421052631576</v>
      </c>
      <c r="L34" s="181"/>
      <c r="M34" s="165">
        <v>2</v>
      </c>
      <c r="N34" s="181">
        <v>0.28947368421052633</v>
      </c>
      <c r="O34" s="20"/>
    </row>
    <row r="35" spans="1:15" s="82" customFormat="1" ht="15" customHeight="1" x14ac:dyDescent="0.25">
      <c r="A35" s="163">
        <v>35</v>
      </c>
      <c r="B35" s="93"/>
      <c r="C35" s="98"/>
      <c r="D35" s="98"/>
      <c r="E35" s="98"/>
      <c r="F35" s="141"/>
      <c r="G35" s="98"/>
      <c r="H35" s="98"/>
      <c r="I35" s="141"/>
      <c r="J35" s="98"/>
      <c r="K35" s="98"/>
      <c r="L35" s="98"/>
      <c r="M35" s="141"/>
      <c r="N35" s="141"/>
      <c r="O35" s="20"/>
    </row>
    <row r="36" spans="1:15" s="82" customFormat="1" ht="12.75" customHeight="1" x14ac:dyDescent="0.2">
      <c r="A36" s="163">
        <v>36</v>
      </c>
      <c r="B36" s="118"/>
      <c r="C36" s="102"/>
      <c r="D36" s="102"/>
      <c r="E36" s="102"/>
      <c r="F36" s="102"/>
      <c r="G36" s="283" t="s">
        <v>210</v>
      </c>
      <c r="H36" s="283"/>
      <c r="I36" s="283"/>
      <c r="J36" s="283"/>
      <c r="K36" s="283"/>
      <c r="L36" s="283"/>
      <c r="M36" s="283"/>
      <c r="N36" s="283"/>
      <c r="O36" s="20"/>
    </row>
    <row r="37" spans="1:15" s="82" customFormat="1" ht="12.75" customHeight="1" x14ac:dyDescent="0.2">
      <c r="A37" s="163">
        <v>37</v>
      </c>
      <c r="B37" s="118"/>
      <c r="C37" s="102"/>
      <c r="D37" s="102"/>
      <c r="E37" s="102"/>
      <c r="F37" s="102"/>
      <c r="G37" s="111"/>
      <c r="H37" s="111"/>
      <c r="I37" s="111"/>
      <c r="J37" s="111"/>
      <c r="K37" s="111"/>
      <c r="L37" s="258"/>
      <c r="M37" s="102"/>
      <c r="N37" s="284" t="s">
        <v>211</v>
      </c>
      <c r="O37" s="20"/>
    </row>
    <row r="38" spans="1:15" s="13" customFormat="1" ht="54" customHeight="1" x14ac:dyDescent="0.2">
      <c r="A38" s="163">
        <v>38</v>
      </c>
      <c r="B38" s="138"/>
      <c r="C38" s="139" t="s">
        <v>14</v>
      </c>
      <c r="D38" s="140" t="s">
        <v>2</v>
      </c>
      <c r="E38" s="140" t="s">
        <v>15</v>
      </c>
      <c r="F38" s="133" t="s">
        <v>68</v>
      </c>
      <c r="G38" s="262" t="s">
        <v>306</v>
      </c>
      <c r="H38" s="262" t="s">
        <v>307</v>
      </c>
      <c r="I38" s="262" t="s">
        <v>308</v>
      </c>
      <c r="J38" s="262" t="s">
        <v>309</v>
      </c>
      <c r="K38" s="262" t="s">
        <v>310</v>
      </c>
      <c r="L38" s="257" t="s">
        <v>305</v>
      </c>
      <c r="M38" s="133" t="s">
        <v>65</v>
      </c>
      <c r="N38" s="285"/>
      <c r="O38" s="29"/>
    </row>
    <row r="39" spans="1:15" ht="15" customHeight="1" x14ac:dyDescent="0.2">
      <c r="A39" s="163">
        <v>39</v>
      </c>
      <c r="B39" s="118"/>
      <c r="C39" s="98" t="s">
        <v>22</v>
      </c>
      <c r="D39" s="98" t="s">
        <v>201</v>
      </c>
      <c r="E39" s="98" t="s">
        <v>112</v>
      </c>
      <c r="F39" s="100" t="s">
        <v>18</v>
      </c>
      <c r="G39" s="181">
        <v>0.1044776119402985</v>
      </c>
      <c r="H39" s="181">
        <v>5.9701492537313432E-2</v>
      </c>
      <c r="I39" s="181">
        <v>0.23880597014925373</v>
      </c>
      <c r="J39" s="181">
        <v>0.22388059701492538</v>
      </c>
      <c r="K39" s="181">
        <v>0.37313432835820898</v>
      </c>
      <c r="L39" s="181"/>
      <c r="M39" s="267">
        <v>4</v>
      </c>
      <c r="N39" s="181">
        <v>0.16923076923076924</v>
      </c>
      <c r="O39" s="20"/>
    </row>
    <row r="40" spans="1:15" ht="15" customHeight="1" x14ac:dyDescent="0.2">
      <c r="A40" s="163">
        <v>40</v>
      </c>
      <c r="B40" s="118"/>
      <c r="C40" s="98" t="s">
        <v>22</v>
      </c>
      <c r="D40" s="98" t="s">
        <v>113</v>
      </c>
      <c r="E40" s="98" t="s">
        <v>38</v>
      </c>
      <c r="F40" s="100" t="s">
        <v>24</v>
      </c>
      <c r="G40" s="181">
        <v>2.265893749394652E-2</v>
      </c>
      <c r="H40" s="181">
        <v>2.6312626152591681E-2</v>
      </c>
      <c r="I40" s="181">
        <v>8.3406387362950807E-2</v>
      </c>
      <c r="J40" s="181">
        <v>0.11888140713876418</v>
      </c>
      <c r="K40" s="181">
        <v>0.74874064185174682</v>
      </c>
      <c r="L40" s="181"/>
      <c r="M40" s="267">
        <v>2</v>
      </c>
      <c r="N40" s="181">
        <v>7.3671885907058726E-2</v>
      </c>
      <c r="O40" s="20"/>
    </row>
    <row r="41" spans="1:15" ht="15" customHeight="1" x14ac:dyDescent="0.2">
      <c r="A41" s="163">
        <v>41</v>
      </c>
      <c r="B41" s="118"/>
      <c r="C41" s="98" t="s">
        <v>22</v>
      </c>
      <c r="D41" s="98" t="s">
        <v>113</v>
      </c>
      <c r="E41" s="98" t="s">
        <v>39</v>
      </c>
      <c r="F41" s="100" t="s">
        <v>24</v>
      </c>
      <c r="G41" s="181"/>
      <c r="H41" s="181"/>
      <c r="I41" s="181"/>
      <c r="J41" s="181"/>
      <c r="K41" s="181"/>
      <c r="L41" s="181"/>
      <c r="M41" s="267" t="s">
        <v>386</v>
      </c>
      <c r="N41" s="181"/>
      <c r="O41" s="20"/>
    </row>
    <row r="42" spans="1:15" ht="15" customHeight="1" x14ac:dyDescent="0.2">
      <c r="A42" s="163">
        <v>42</v>
      </c>
      <c r="B42" s="118"/>
      <c r="C42" s="98" t="s">
        <v>22</v>
      </c>
      <c r="D42" s="98" t="s">
        <v>113</v>
      </c>
      <c r="E42" s="98" t="s">
        <v>114</v>
      </c>
      <c r="F42" s="100" t="s">
        <v>24</v>
      </c>
      <c r="G42" s="181">
        <v>0.46526717297391923</v>
      </c>
      <c r="H42" s="181">
        <v>0</v>
      </c>
      <c r="I42" s="181">
        <v>0.18066157544938602</v>
      </c>
      <c r="J42" s="181">
        <v>7.4733168402397826E-2</v>
      </c>
      <c r="K42" s="181">
        <v>0.27933808317429687</v>
      </c>
      <c r="L42" s="181"/>
      <c r="M42" s="267">
        <v>2</v>
      </c>
      <c r="N42" s="181">
        <v>0.46526717297391923</v>
      </c>
      <c r="O42" s="20"/>
    </row>
    <row r="43" spans="1:15" ht="15" customHeight="1" x14ac:dyDescent="0.2">
      <c r="A43" s="163">
        <v>43</v>
      </c>
      <c r="B43" s="118"/>
      <c r="C43" s="98" t="s">
        <v>22</v>
      </c>
      <c r="D43" s="98" t="s">
        <v>115</v>
      </c>
      <c r="E43" s="98" t="s">
        <v>40</v>
      </c>
      <c r="F43" s="100" t="s">
        <v>24</v>
      </c>
      <c r="G43" s="181">
        <v>2.1137826964410592E-3</v>
      </c>
      <c r="H43" s="181">
        <v>2.5611985626908247E-3</v>
      </c>
      <c r="I43" s="181">
        <v>1.5177881138240314E-2</v>
      </c>
      <c r="J43" s="181">
        <v>8.6535331287447115E-2</v>
      </c>
      <c r="K43" s="181">
        <v>0.89361180631518067</v>
      </c>
      <c r="L43" s="181"/>
      <c r="M43" s="267">
        <v>2</v>
      </c>
      <c r="N43" s="181">
        <v>8.278210115354602E-3</v>
      </c>
      <c r="O43" s="20"/>
    </row>
    <row r="44" spans="1:15" ht="15" customHeight="1" x14ac:dyDescent="0.2">
      <c r="A44" s="163">
        <v>44</v>
      </c>
      <c r="B44" s="118"/>
      <c r="C44" s="98" t="s">
        <v>22</v>
      </c>
      <c r="D44" s="98" t="s">
        <v>115</v>
      </c>
      <c r="E44" s="98" t="s">
        <v>41</v>
      </c>
      <c r="F44" s="100" t="s">
        <v>24</v>
      </c>
      <c r="G44" s="181">
        <v>5.5787399122710513E-3</v>
      </c>
      <c r="H44" s="181">
        <v>6.4449838614441101E-3</v>
      </c>
      <c r="I44" s="181">
        <v>3.5688242655148153E-2</v>
      </c>
      <c r="J44" s="181">
        <v>8.4512653630481521E-2</v>
      </c>
      <c r="K44" s="181">
        <v>0.86777537994065523</v>
      </c>
      <c r="L44" s="181"/>
      <c r="M44" s="267">
        <v>2</v>
      </c>
      <c r="N44" s="181">
        <v>2.0539933412789747E-2</v>
      </c>
      <c r="O44" s="20"/>
    </row>
    <row r="45" spans="1:15" ht="15" customHeight="1" x14ac:dyDescent="0.2">
      <c r="A45" s="163">
        <v>45</v>
      </c>
      <c r="B45" s="118"/>
      <c r="C45" s="98" t="s">
        <v>22</v>
      </c>
      <c r="D45" s="98" t="s">
        <v>115</v>
      </c>
      <c r="E45" s="98" t="s">
        <v>42</v>
      </c>
      <c r="F45" s="100" t="s">
        <v>24</v>
      </c>
      <c r="G45" s="181">
        <v>0</v>
      </c>
      <c r="H45" s="181">
        <v>1</v>
      </c>
      <c r="I45" s="181">
        <v>0</v>
      </c>
      <c r="J45" s="181">
        <v>0</v>
      </c>
      <c r="K45" s="181">
        <v>0</v>
      </c>
      <c r="L45" s="181"/>
      <c r="M45" s="267">
        <v>2</v>
      </c>
      <c r="N45" s="181">
        <v>1</v>
      </c>
      <c r="O45" s="20"/>
    </row>
    <row r="46" spans="1:15" ht="15" customHeight="1" x14ac:dyDescent="0.2">
      <c r="A46" s="163">
        <v>46</v>
      </c>
      <c r="B46" s="118"/>
      <c r="C46" s="119" t="s">
        <v>22</v>
      </c>
      <c r="D46" s="119" t="s">
        <v>116</v>
      </c>
      <c r="E46" s="98" t="s">
        <v>117</v>
      </c>
      <c r="F46" s="100" t="s">
        <v>18</v>
      </c>
      <c r="G46" s="181">
        <v>0</v>
      </c>
      <c r="H46" s="181">
        <v>0</v>
      </c>
      <c r="I46" s="181">
        <v>0</v>
      </c>
      <c r="J46" s="181">
        <v>2.0408163265306121E-2</v>
      </c>
      <c r="K46" s="181">
        <v>0.97959183673469385</v>
      </c>
      <c r="L46" s="181"/>
      <c r="M46" s="267">
        <v>2</v>
      </c>
      <c r="N46" s="181">
        <v>0</v>
      </c>
      <c r="O46" s="20"/>
    </row>
    <row r="47" spans="1:15" ht="15" customHeight="1" x14ac:dyDescent="0.2">
      <c r="A47" s="163">
        <v>47</v>
      </c>
      <c r="B47" s="118"/>
      <c r="C47" s="119" t="s">
        <v>22</v>
      </c>
      <c r="D47" s="119" t="s">
        <v>116</v>
      </c>
      <c r="E47" s="98" t="s">
        <v>118</v>
      </c>
      <c r="F47" s="100" t="s">
        <v>18</v>
      </c>
      <c r="G47" s="181">
        <v>0.55555555555555558</v>
      </c>
      <c r="H47" s="181">
        <v>0</v>
      </c>
      <c r="I47" s="181">
        <v>0</v>
      </c>
      <c r="J47" s="181">
        <v>0</v>
      </c>
      <c r="K47" s="181">
        <v>0.44444444444444442</v>
      </c>
      <c r="L47" s="181"/>
      <c r="M47" s="267">
        <v>2</v>
      </c>
      <c r="N47" s="181">
        <v>0.55555555555555558</v>
      </c>
      <c r="O47" s="20"/>
    </row>
    <row r="48" spans="1:15" ht="15" customHeight="1" x14ac:dyDescent="0.2">
      <c r="A48" s="163">
        <v>48</v>
      </c>
      <c r="B48" s="118"/>
      <c r="C48" s="119" t="s">
        <v>22</v>
      </c>
      <c r="D48" s="119" t="s">
        <v>116</v>
      </c>
      <c r="E48" s="112" t="s">
        <v>119</v>
      </c>
      <c r="F48" s="100" t="s">
        <v>18</v>
      </c>
      <c r="G48" s="181">
        <v>3.5162170354652925E-2</v>
      </c>
      <c r="H48" s="181">
        <v>3.1221582297665959E-2</v>
      </c>
      <c r="I48" s="181">
        <v>9.2452258260078815E-2</v>
      </c>
      <c r="J48" s="181">
        <v>0.13003940588056986</v>
      </c>
      <c r="K48" s="181">
        <v>0.71112458320703242</v>
      </c>
      <c r="L48" s="181"/>
      <c r="M48" s="267">
        <v>2</v>
      </c>
      <c r="N48" s="181">
        <v>6.9414974234616553E-2</v>
      </c>
      <c r="O48" s="20"/>
    </row>
    <row r="49" spans="1:15" ht="15" customHeight="1" x14ac:dyDescent="0.2">
      <c r="A49" s="163">
        <v>49</v>
      </c>
      <c r="B49" s="118"/>
      <c r="C49" s="119" t="s">
        <v>22</v>
      </c>
      <c r="D49" s="119" t="s">
        <v>116</v>
      </c>
      <c r="E49" s="104" t="s">
        <v>120</v>
      </c>
      <c r="F49" s="100" t="s">
        <v>18</v>
      </c>
      <c r="G49" s="181">
        <v>9.9750623441396506E-3</v>
      </c>
      <c r="H49" s="181">
        <v>0</v>
      </c>
      <c r="I49" s="181">
        <v>0</v>
      </c>
      <c r="J49" s="181">
        <v>0</v>
      </c>
      <c r="K49" s="181">
        <v>0.9900249376558603</v>
      </c>
      <c r="L49" s="181"/>
      <c r="M49" s="267">
        <v>2</v>
      </c>
      <c r="N49" s="181">
        <v>7.481296758104738E-3</v>
      </c>
      <c r="O49" s="20"/>
    </row>
    <row r="50" spans="1:15" ht="15" customHeight="1" x14ac:dyDescent="0.2">
      <c r="A50" s="163">
        <v>50</v>
      </c>
      <c r="B50" s="118"/>
      <c r="C50" s="98" t="s">
        <v>22</v>
      </c>
      <c r="D50" s="98" t="s">
        <v>116</v>
      </c>
      <c r="E50" s="98" t="s">
        <v>43</v>
      </c>
      <c r="F50" s="100" t="s">
        <v>18</v>
      </c>
      <c r="G50" s="181">
        <v>8.1444164567590266E-2</v>
      </c>
      <c r="H50" s="181">
        <v>5.4575986565910999E-2</v>
      </c>
      <c r="I50" s="181">
        <v>0.1343408900083963</v>
      </c>
      <c r="J50" s="181">
        <v>0.21914357682619648</v>
      </c>
      <c r="K50" s="181">
        <v>0.51049538203190592</v>
      </c>
      <c r="L50" s="181"/>
      <c r="M50" s="267">
        <v>2</v>
      </c>
      <c r="N50" s="181">
        <v>0.15701091519731319</v>
      </c>
      <c r="O50" s="20"/>
    </row>
    <row r="51" spans="1:15" ht="15" customHeight="1" x14ac:dyDescent="0.2">
      <c r="A51" s="163">
        <v>51</v>
      </c>
      <c r="B51" s="118"/>
      <c r="C51" s="98" t="s">
        <v>22</v>
      </c>
      <c r="D51" s="98" t="s">
        <v>121</v>
      </c>
      <c r="E51" s="98" t="s">
        <v>44</v>
      </c>
      <c r="F51" s="100" t="s">
        <v>18</v>
      </c>
      <c r="G51" s="181">
        <v>6.1749999999999999E-2</v>
      </c>
      <c r="H51" s="181">
        <v>4.9750000000000003E-2</v>
      </c>
      <c r="I51" s="181">
        <v>0.14749999999999999</v>
      </c>
      <c r="J51" s="181">
        <v>0.16125</v>
      </c>
      <c r="K51" s="181">
        <v>0.57974999999999999</v>
      </c>
      <c r="L51" s="181"/>
      <c r="M51" s="267">
        <v>2</v>
      </c>
      <c r="N51" s="181">
        <v>0.10725</v>
      </c>
      <c r="O51" s="20"/>
    </row>
    <row r="52" spans="1:15" ht="15" customHeight="1" x14ac:dyDescent="0.2">
      <c r="A52" s="163">
        <v>52</v>
      </c>
      <c r="B52" s="118"/>
      <c r="C52" s="98" t="s">
        <v>22</v>
      </c>
      <c r="D52" s="98" t="s">
        <v>121</v>
      </c>
      <c r="E52" s="98" t="s">
        <v>45</v>
      </c>
      <c r="F52" s="100" t="s">
        <v>18</v>
      </c>
      <c r="G52" s="181">
        <v>2.2853411687887692E-3</v>
      </c>
      <c r="H52" s="181">
        <v>3.5912504080966375E-3</v>
      </c>
      <c r="I52" s="181">
        <v>2.0241593209271956E-2</v>
      </c>
      <c r="J52" s="181">
        <v>5.5501142670584397E-2</v>
      </c>
      <c r="K52" s="181">
        <v>0.91838067254325828</v>
      </c>
      <c r="L52" s="181"/>
      <c r="M52" s="267">
        <v>3</v>
      </c>
      <c r="N52" s="181">
        <v>1.0120796604635978E-2</v>
      </c>
      <c r="O52" s="20"/>
    </row>
    <row r="53" spans="1:15" ht="15" customHeight="1" x14ac:dyDescent="0.2">
      <c r="A53" s="163">
        <v>53</v>
      </c>
      <c r="B53" s="118"/>
      <c r="C53" s="98" t="s">
        <v>22</v>
      </c>
      <c r="D53" s="98" t="s">
        <v>122</v>
      </c>
      <c r="E53" s="98" t="s">
        <v>13</v>
      </c>
      <c r="F53" s="100" t="s">
        <v>18</v>
      </c>
      <c r="G53" s="181">
        <v>0</v>
      </c>
      <c r="H53" s="181">
        <v>0</v>
      </c>
      <c r="I53" s="181">
        <v>7.1428571428571425E-2</v>
      </c>
      <c r="J53" s="181">
        <v>0</v>
      </c>
      <c r="K53" s="181">
        <v>0.9285714285714286</v>
      </c>
      <c r="L53" s="181"/>
      <c r="M53" s="267">
        <v>2</v>
      </c>
      <c r="N53" s="181">
        <v>0.10714285714285714</v>
      </c>
      <c r="O53" s="20"/>
    </row>
    <row r="54" spans="1:15" ht="15" customHeight="1" x14ac:dyDescent="0.2">
      <c r="A54" s="163">
        <v>54</v>
      </c>
      <c r="B54" s="118"/>
      <c r="C54" s="98" t="s">
        <v>22</v>
      </c>
      <c r="D54" s="98" t="s">
        <v>123</v>
      </c>
      <c r="E54" s="98" t="s">
        <v>46</v>
      </c>
      <c r="F54" s="100" t="s">
        <v>18</v>
      </c>
      <c r="G54" s="181">
        <v>0</v>
      </c>
      <c r="H54" s="181">
        <v>0</v>
      </c>
      <c r="I54" s="181">
        <v>0.5</v>
      </c>
      <c r="J54" s="181">
        <v>0.5</v>
      </c>
      <c r="K54" s="181">
        <v>0</v>
      </c>
      <c r="L54" s="181"/>
      <c r="M54" s="267">
        <v>1</v>
      </c>
      <c r="N54" s="181">
        <v>0</v>
      </c>
      <c r="O54" s="20"/>
    </row>
    <row r="55" spans="1:15" ht="15" customHeight="1" x14ac:dyDescent="0.2">
      <c r="A55" s="163">
        <v>55</v>
      </c>
      <c r="B55" s="118"/>
      <c r="C55" s="98" t="s">
        <v>47</v>
      </c>
      <c r="D55" s="98" t="s">
        <v>124</v>
      </c>
      <c r="E55" s="98" t="s">
        <v>125</v>
      </c>
      <c r="F55" s="100" t="s">
        <v>24</v>
      </c>
      <c r="G55" s="181">
        <v>6.0358614540817798E-2</v>
      </c>
      <c r="H55" s="181">
        <v>2.8850618634672719E-2</v>
      </c>
      <c r="I55" s="181">
        <v>9.1961743284843786E-2</v>
      </c>
      <c r="J55" s="181">
        <v>0.15105826217644203</v>
      </c>
      <c r="K55" s="181">
        <v>0.66777076136322366</v>
      </c>
      <c r="L55" s="181"/>
      <c r="M55" s="267">
        <v>2</v>
      </c>
      <c r="N55" s="181">
        <v>9.8811307612266627E-2</v>
      </c>
      <c r="O55" s="20"/>
    </row>
    <row r="56" spans="1:15" ht="15" customHeight="1" x14ac:dyDescent="0.2">
      <c r="A56" s="163">
        <v>56</v>
      </c>
      <c r="B56" s="118"/>
      <c r="C56" s="98" t="s">
        <v>47</v>
      </c>
      <c r="D56" s="98" t="s">
        <v>126</v>
      </c>
      <c r="E56" s="98" t="s">
        <v>127</v>
      </c>
      <c r="F56" s="100" t="s">
        <v>24</v>
      </c>
      <c r="G56" s="181">
        <v>2.7337236266795108E-3</v>
      </c>
      <c r="H56" s="181">
        <v>2.4533327729718622E-3</v>
      </c>
      <c r="I56" s="181">
        <v>1.5175083212165742E-2</v>
      </c>
      <c r="J56" s="181">
        <v>5.8198124911187948E-2</v>
      </c>
      <c r="K56" s="181">
        <v>0.92143973547699487</v>
      </c>
      <c r="L56" s="181"/>
      <c r="M56" s="267">
        <v>2</v>
      </c>
      <c r="N56" s="181">
        <v>6.7456471317110861E-3</v>
      </c>
      <c r="O56" s="20"/>
    </row>
    <row r="57" spans="1:15" ht="15" customHeight="1" x14ac:dyDescent="0.2">
      <c r="A57" s="163">
        <v>57</v>
      </c>
      <c r="B57" s="118"/>
      <c r="C57" s="98" t="s">
        <v>47</v>
      </c>
      <c r="D57" s="98" t="s">
        <v>128</v>
      </c>
      <c r="E57" s="98" t="s">
        <v>129</v>
      </c>
      <c r="F57" s="100" t="s">
        <v>24</v>
      </c>
      <c r="G57" s="181">
        <v>3.8153435208062185E-2</v>
      </c>
      <c r="H57" s="181">
        <v>1.8678686728884623E-2</v>
      </c>
      <c r="I57" s="181">
        <v>6.2372766538358985E-2</v>
      </c>
      <c r="J57" s="181">
        <v>0.11527553064968502</v>
      </c>
      <c r="K57" s="181">
        <v>0.76551958087500915</v>
      </c>
      <c r="L57" s="181"/>
      <c r="M57" s="267">
        <v>2</v>
      </c>
      <c r="N57" s="181">
        <v>6.3334719823052263E-2</v>
      </c>
      <c r="O57" s="20"/>
    </row>
    <row r="58" spans="1:15" ht="15" customHeight="1" x14ac:dyDescent="0.2">
      <c r="A58" s="163">
        <v>58</v>
      </c>
      <c r="B58" s="118"/>
      <c r="C58" s="98" t="s">
        <v>47</v>
      </c>
      <c r="D58" s="98" t="s">
        <v>48</v>
      </c>
      <c r="E58" s="98" t="s">
        <v>195</v>
      </c>
      <c r="F58" s="100" t="s">
        <v>18</v>
      </c>
      <c r="G58" s="181">
        <v>4.2469555322101768E-2</v>
      </c>
      <c r="H58" s="181">
        <v>2.2783619773947411E-2</v>
      </c>
      <c r="I58" s="181">
        <v>7.2774554176572248E-2</v>
      </c>
      <c r="J58" s="181">
        <v>0.12250048140072538</v>
      </c>
      <c r="K58" s="181">
        <v>0.73947178932665314</v>
      </c>
      <c r="L58" s="181"/>
      <c r="M58" s="267">
        <v>2</v>
      </c>
      <c r="N58" s="181">
        <v>7.7847453895108387E-2</v>
      </c>
      <c r="O58" s="20"/>
    </row>
    <row r="59" spans="1:15" ht="15" customHeight="1" x14ac:dyDescent="0.2">
      <c r="A59" s="163">
        <v>59</v>
      </c>
      <c r="B59" s="118"/>
      <c r="C59" s="119" t="s">
        <v>16</v>
      </c>
      <c r="D59" s="119" t="s">
        <v>49</v>
      </c>
      <c r="E59" s="104" t="s">
        <v>50</v>
      </c>
      <c r="F59" s="100" t="s">
        <v>18</v>
      </c>
      <c r="G59" s="181">
        <v>0.486328125</v>
      </c>
      <c r="H59" s="181">
        <v>8.3984375E-2</v>
      </c>
      <c r="I59" s="181">
        <v>0.19531250000000003</v>
      </c>
      <c r="J59" s="181">
        <v>0.234375</v>
      </c>
      <c r="K59" s="181">
        <v>0</v>
      </c>
      <c r="L59" s="181"/>
      <c r="M59" s="267">
        <v>2</v>
      </c>
      <c r="N59" s="181">
        <v>0.43554687500000006</v>
      </c>
      <c r="O59" s="20"/>
    </row>
    <row r="60" spans="1:15" ht="15" customHeight="1" x14ac:dyDescent="0.2">
      <c r="A60" s="163">
        <v>60</v>
      </c>
      <c r="B60" s="118"/>
      <c r="C60" s="119" t="s">
        <v>16</v>
      </c>
      <c r="D60" s="119" t="s">
        <v>51</v>
      </c>
      <c r="E60" s="98" t="s">
        <v>166</v>
      </c>
      <c r="F60" s="100" t="s">
        <v>132</v>
      </c>
      <c r="G60" s="181">
        <v>0.26865671641791045</v>
      </c>
      <c r="H60" s="181">
        <v>0</v>
      </c>
      <c r="I60" s="181">
        <v>0.38805970149253732</v>
      </c>
      <c r="J60" s="181">
        <v>0.34328358208955223</v>
      </c>
      <c r="K60" s="181">
        <v>0</v>
      </c>
      <c r="L60" s="181"/>
      <c r="M60" s="267">
        <v>2</v>
      </c>
      <c r="N60" s="181">
        <v>0.13432835820895522</v>
      </c>
      <c r="O60" s="20"/>
    </row>
    <row r="61" spans="1:15" ht="15" customHeight="1" x14ac:dyDescent="0.2">
      <c r="A61" s="163">
        <v>61</v>
      </c>
      <c r="B61" s="118"/>
      <c r="C61" s="98" t="s">
        <v>16</v>
      </c>
      <c r="D61" s="98" t="s">
        <v>130</v>
      </c>
      <c r="E61" s="98" t="s">
        <v>21</v>
      </c>
      <c r="F61" s="141" t="s">
        <v>18</v>
      </c>
      <c r="G61" s="181">
        <v>0</v>
      </c>
      <c r="H61" s="181">
        <v>0</v>
      </c>
      <c r="I61" s="181">
        <v>0</v>
      </c>
      <c r="J61" s="181">
        <v>0</v>
      </c>
      <c r="K61" s="181">
        <v>1</v>
      </c>
      <c r="L61" s="181"/>
      <c r="M61" s="267">
        <v>2</v>
      </c>
      <c r="N61" s="181">
        <v>0</v>
      </c>
      <c r="O61" s="20"/>
    </row>
    <row r="62" spans="1:15" ht="15" customHeight="1" x14ac:dyDescent="0.2">
      <c r="A62" s="163">
        <v>62</v>
      </c>
      <c r="B62" s="118"/>
      <c r="C62" s="98" t="s">
        <v>16</v>
      </c>
      <c r="D62" s="98" t="s">
        <v>131</v>
      </c>
      <c r="E62" s="98" t="s">
        <v>54</v>
      </c>
      <c r="F62" s="100" t="s">
        <v>132</v>
      </c>
      <c r="G62" s="181">
        <v>0.7142857142857143</v>
      </c>
      <c r="H62" s="181">
        <v>0</v>
      </c>
      <c r="I62" s="181">
        <v>0</v>
      </c>
      <c r="J62" s="181">
        <v>0</v>
      </c>
      <c r="K62" s="181">
        <v>0.2857142857142857</v>
      </c>
      <c r="L62" s="181"/>
      <c r="M62" s="267">
        <v>2</v>
      </c>
      <c r="N62" s="181">
        <v>0.7142857142857143</v>
      </c>
      <c r="O62" s="20"/>
    </row>
    <row r="63" spans="1:15" ht="15" customHeight="1" x14ac:dyDescent="0.2">
      <c r="A63" s="163">
        <v>63</v>
      </c>
      <c r="B63" s="118"/>
      <c r="C63" s="98" t="s">
        <v>16</v>
      </c>
      <c r="D63" s="98" t="s">
        <v>131</v>
      </c>
      <c r="E63" s="98" t="s">
        <v>55</v>
      </c>
      <c r="F63" s="141" t="s">
        <v>18</v>
      </c>
      <c r="G63" s="181">
        <v>0.15570000000000001</v>
      </c>
      <c r="H63" s="181">
        <v>6.6299999999999998E-2</v>
      </c>
      <c r="I63" s="181">
        <v>0.38269999999999998</v>
      </c>
      <c r="J63" s="181">
        <v>0.39529999999999998</v>
      </c>
      <c r="K63" s="181">
        <v>0</v>
      </c>
      <c r="L63" s="181"/>
      <c r="M63" s="267">
        <v>2</v>
      </c>
      <c r="N63" s="181">
        <v>0</v>
      </c>
      <c r="O63" s="20"/>
    </row>
    <row r="64" spans="1:15" ht="15" customHeight="1" x14ac:dyDescent="0.2">
      <c r="A64" s="163">
        <v>64</v>
      </c>
      <c r="B64" s="118"/>
      <c r="C64" s="98" t="s">
        <v>16</v>
      </c>
      <c r="D64" s="98" t="s">
        <v>52</v>
      </c>
      <c r="E64" s="98" t="s">
        <v>53</v>
      </c>
      <c r="F64" s="100" t="s">
        <v>24</v>
      </c>
      <c r="G64" s="181"/>
      <c r="H64" s="181"/>
      <c r="I64" s="181"/>
      <c r="J64" s="181"/>
      <c r="K64" s="181"/>
      <c r="L64" s="181"/>
      <c r="M64" s="267" t="s">
        <v>386</v>
      </c>
      <c r="N64" s="181"/>
      <c r="O64" s="20"/>
    </row>
    <row r="65" spans="1:15" x14ac:dyDescent="0.2">
      <c r="A65" s="164"/>
      <c r="B65" s="54"/>
      <c r="C65" s="23"/>
      <c r="D65" s="23"/>
      <c r="E65" s="23"/>
      <c r="F65" s="23"/>
      <c r="G65" s="23"/>
      <c r="H65" s="23"/>
      <c r="I65" s="23"/>
      <c r="J65" s="23"/>
      <c r="K65" s="23"/>
      <c r="L65" s="23"/>
      <c r="M65" s="23"/>
      <c r="N65" s="23"/>
      <c r="O65" s="24"/>
    </row>
  </sheetData>
  <sheetProtection formatRows="0" insertRows="0"/>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N36"/>
    <mergeCell ref="N37:N38"/>
    <mergeCell ref="K2:N2"/>
    <mergeCell ref="K3:N3"/>
    <mergeCell ref="N8:N9"/>
    <mergeCell ref="G7:N7"/>
    <mergeCell ref="A5:N5"/>
  </mergeCells>
  <conditionalFormatting sqref="G10:L10">
    <cfRule type="expression" priority="53" stopIfTrue="1">
      <formula>SUM($G$10:$K$10)=0%</formula>
    </cfRule>
    <cfRule type="expression" dxfId="50" priority="54" stopIfTrue="1">
      <formula>SUM($G$10:$K$10)&lt;&gt;100%</formula>
    </cfRule>
  </conditionalFormatting>
  <conditionalFormatting sqref="G11:L11">
    <cfRule type="expression" priority="55" stopIfTrue="1">
      <formula>SUM($G$11:$K$11)=0%</formula>
    </cfRule>
    <cfRule type="expression" dxfId="49" priority="56" stopIfTrue="1">
      <formula>SUM($G$11:$K$11)&lt;&gt;100%</formula>
    </cfRule>
  </conditionalFormatting>
  <conditionalFormatting sqref="G12:L12">
    <cfRule type="expression" priority="57" stopIfTrue="1">
      <formula>SUM($G$12:$K$12)=0%</formula>
    </cfRule>
    <cfRule type="expression" dxfId="48" priority="58" stopIfTrue="1">
      <formula>SUM($G$12:$K$12)&lt;&gt;100%</formula>
    </cfRule>
  </conditionalFormatting>
  <conditionalFormatting sqref="G13:L13">
    <cfRule type="expression" priority="59" stopIfTrue="1">
      <formula>SUM($G$13:$K$13)=0%</formula>
    </cfRule>
    <cfRule type="expression" dxfId="47" priority="60" stopIfTrue="1">
      <formula>SUM($G$13:$K$13)&lt;&gt;100%</formula>
    </cfRule>
  </conditionalFormatting>
  <conditionalFormatting sqref="G14:L14">
    <cfRule type="expression" priority="61" stopIfTrue="1">
      <formula>SUM($G$14:$K$14)=0%</formula>
    </cfRule>
    <cfRule type="expression" dxfId="46" priority="62" stopIfTrue="1">
      <formula>SUM($G$14:$K$14)&lt;&gt;100%</formula>
    </cfRule>
  </conditionalFormatting>
  <conditionalFormatting sqref="G15:L15">
    <cfRule type="expression" priority="63" stopIfTrue="1">
      <formula>SUM($G$15:$K$15)=0%</formula>
    </cfRule>
    <cfRule type="expression" dxfId="45" priority="64" stopIfTrue="1">
      <formula>SUM($G$15:$K$15)&lt;&gt;100%</formula>
    </cfRule>
  </conditionalFormatting>
  <conditionalFormatting sqref="G16:L16">
    <cfRule type="expression" priority="65" stopIfTrue="1">
      <formula>SUM($G$16:$K$16)=0%</formula>
    </cfRule>
    <cfRule type="expression" dxfId="44" priority="66" stopIfTrue="1">
      <formula>SUM($G$16:$K$16)&lt;&gt;100%</formula>
    </cfRule>
  </conditionalFormatting>
  <conditionalFormatting sqref="G17:L17">
    <cfRule type="expression" priority="67" stopIfTrue="1">
      <formula>SUM($G$17:$K$17)=0%</formula>
    </cfRule>
    <cfRule type="expression" dxfId="43" priority="68" stopIfTrue="1">
      <formula>SUM($G$17:$K$17)&lt;&gt;100%</formula>
    </cfRule>
  </conditionalFormatting>
  <conditionalFormatting sqref="G18:L18">
    <cfRule type="expression" priority="69" stopIfTrue="1">
      <formula>SUM($G$18:$K$18)=0%</formula>
    </cfRule>
    <cfRule type="expression" dxfId="42" priority="70" stopIfTrue="1">
      <formula>SUM($G$18:$K$18)&lt;&gt;100%</formula>
    </cfRule>
  </conditionalFormatting>
  <conditionalFormatting sqref="G19:L19">
    <cfRule type="expression" priority="71" stopIfTrue="1">
      <formula>SUM($G$19:$K$19)=0%</formula>
    </cfRule>
    <cfRule type="expression" dxfId="41" priority="72" stopIfTrue="1">
      <formula>SUM($G$19:$K$19)&lt;&gt;100%</formula>
    </cfRule>
  </conditionalFormatting>
  <conditionalFormatting sqref="G20:L20">
    <cfRule type="expression" priority="73" stopIfTrue="1">
      <formula>SUM($G$20:$K$20)=0%</formula>
    </cfRule>
    <cfRule type="expression" dxfId="40" priority="74" stopIfTrue="1">
      <formula>SUM($G$20:$K$20)&lt;&gt;100%</formula>
    </cfRule>
  </conditionalFormatting>
  <conditionalFormatting sqref="G21:L21">
    <cfRule type="expression" priority="75" stopIfTrue="1">
      <formula>SUM($G$21:$K$21)=0%</formula>
    </cfRule>
    <cfRule type="expression" dxfId="39" priority="76" stopIfTrue="1">
      <formula>SUM($G$21:$K$21)&lt;&gt;100%</formula>
    </cfRule>
  </conditionalFormatting>
  <conditionalFormatting sqref="G22:L22">
    <cfRule type="expression" priority="77" stopIfTrue="1">
      <formula>SUM($G$22:$K$22)=0%</formula>
    </cfRule>
    <cfRule type="expression" dxfId="38" priority="78" stopIfTrue="1">
      <formula>SUM($G$22:$K$22)&lt;&gt;100%</formula>
    </cfRule>
  </conditionalFormatting>
  <conditionalFormatting sqref="G23:L23">
    <cfRule type="expression" priority="79" stopIfTrue="1">
      <formula>SUM($G$23:$K$23)=0%</formula>
    </cfRule>
    <cfRule type="expression" dxfId="37" priority="80" stopIfTrue="1">
      <formula>SUM($G$23:$K$23)&lt;&gt;100%</formula>
    </cfRule>
  </conditionalFormatting>
  <conditionalFormatting sqref="G24:L24">
    <cfRule type="expression" priority="81" stopIfTrue="1">
      <formula>SUM($G$24:$K$24)=0%</formula>
    </cfRule>
    <cfRule type="expression" dxfId="36" priority="82" stopIfTrue="1">
      <formula>SUM($G$24:$K$24)&lt;&gt;100%</formula>
    </cfRule>
  </conditionalFormatting>
  <conditionalFormatting sqref="G25:L25">
    <cfRule type="expression" priority="83" stopIfTrue="1">
      <formula>SUM($G$25:$K$25)=0%</formula>
    </cfRule>
    <cfRule type="expression" dxfId="35" priority="84" stopIfTrue="1">
      <formula>SUM($G$25:$K$25)&lt;&gt;100%</formula>
    </cfRule>
  </conditionalFormatting>
  <conditionalFormatting sqref="G26:L26">
    <cfRule type="expression" priority="85" stopIfTrue="1">
      <formula>SUM($G$26:$K$26)=0%</formula>
    </cfRule>
    <cfRule type="expression" dxfId="34" priority="86" stopIfTrue="1">
      <formula>SUM($G$26:$K$26)&lt;&gt;100%</formula>
    </cfRule>
  </conditionalFormatting>
  <conditionalFormatting sqref="G27:L27">
    <cfRule type="expression" priority="87" stopIfTrue="1">
      <formula>SUM($G$27:$K$27)=0%</formula>
    </cfRule>
    <cfRule type="expression" dxfId="33" priority="88" stopIfTrue="1">
      <formula>SUM($G$27:$K$27)&lt;&gt;100%</formula>
    </cfRule>
  </conditionalFormatting>
  <conditionalFormatting sqref="G28:L28">
    <cfRule type="expression" priority="89" stopIfTrue="1">
      <formula>SUM($G$28:$K$28)=0%</formula>
    </cfRule>
    <cfRule type="expression" dxfId="32" priority="90" stopIfTrue="1">
      <formula>SUM($G$28:$K$28)&lt;&gt;100%</formula>
    </cfRule>
  </conditionalFormatting>
  <conditionalFormatting sqref="G29:L29">
    <cfRule type="expression" priority="91" stopIfTrue="1">
      <formula>SUM($G$29:$K$29)=0%</formula>
    </cfRule>
    <cfRule type="expression" dxfId="31" priority="92" stopIfTrue="1">
      <formula>SUM($G$29:$K$29)&lt;&gt;100%</formula>
    </cfRule>
  </conditionalFormatting>
  <conditionalFormatting sqref="G30:L30">
    <cfRule type="expression" priority="93" stopIfTrue="1">
      <formula>SUM($G$30:$K$30)=0%</formula>
    </cfRule>
    <cfRule type="expression" dxfId="30" priority="94" stopIfTrue="1">
      <formula>SUM($G$30:$K$30)&lt;&gt;100%</formula>
    </cfRule>
  </conditionalFormatting>
  <conditionalFormatting sqref="G31:L31">
    <cfRule type="expression" priority="95" stopIfTrue="1">
      <formula>SUM($G$31:$K$31)=0%</formula>
    </cfRule>
    <cfRule type="expression" dxfId="29" priority="96" stopIfTrue="1">
      <formula>SUM($G$31:$K$31)&lt;&gt;100%</formula>
    </cfRule>
  </conditionalFormatting>
  <conditionalFormatting sqref="G32:L32">
    <cfRule type="expression" priority="97" stopIfTrue="1">
      <formula>SUM($G$32:$K$32)=0%</formula>
    </cfRule>
    <cfRule type="expression" dxfId="28" priority="98" stopIfTrue="1">
      <formula>SUM($G$32:$K$32)&lt;&gt;100%</formula>
    </cfRule>
  </conditionalFormatting>
  <conditionalFormatting sqref="G33:L33">
    <cfRule type="expression" priority="99" stopIfTrue="1">
      <formula>SUM($G$33:$K$33)=0%</formula>
    </cfRule>
    <cfRule type="expression" dxfId="27" priority="100" stopIfTrue="1">
      <formula>SUM($G$33:$K$33)&lt;&gt;100%</formula>
    </cfRule>
  </conditionalFormatting>
  <conditionalFormatting sqref="G34:L34">
    <cfRule type="expression" priority="101" stopIfTrue="1">
      <formula>SUM($G$34:$K$34)=0%</formula>
    </cfRule>
    <cfRule type="expression" dxfId="26" priority="102" stopIfTrue="1">
      <formula>SUM($G$34:$K$34)&lt;&gt;100%</formula>
    </cfRule>
  </conditionalFormatting>
  <conditionalFormatting sqref="G39:L39">
    <cfRule type="expression" priority="1" stopIfTrue="1">
      <formula>SUM($G$39:$K$39)=0%</formula>
    </cfRule>
    <cfRule type="expression" dxfId="25" priority="2" stopIfTrue="1">
      <formula>SUM($G$39:$K$39)&lt;&gt;100%</formula>
    </cfRule>
  </conditionalFormatting>
  <conditionalFormatting sqref="G40:L40">
    <cfRule type="expression" priority="3" stopIfTrue="1">
      <formula>SUM($G$40:$K$40)=0%</formula>
    </cfRule>
    <cfRule type="expression" dxfId="24" priority="4" stopIfTrue="1">
      <formula>SUM($G$40:$K$40)&lt;&gt;100%</formula>
    </cfRule>
  </conditionalFormatting>
  <conditionalFormatting sqref="G41:L41">
    <cfRule type="expression" priority="5" stopIfTrue="1">
      <formula>SUM($G$41:$K$41)=0%</formula>
    </cfRule>
    <cfRule type="expression" dxfId="23" priority="6" stopIfTrue="1">
      <formula>SUM($G$41:$K$41)&lt;&gt;100%</formula>
    </cfRule>
  </conditionalFormatting>
  <conditionalFormatting sqref="G42:L42">
    <cfRule type="expression" priority="7" stopIfTrue="1">
      <formula>SUM($G$42:$K$42)=0%</formula>
    </cfRule>
    <cfRule type="expression" dxfId="22" priority="8" stopIfTrue="1">
      <formula>SUM($G$42:$K$42)&lt;&gt;100%</formula>
    </cfRule>
  </conditionalFormatting>
  <conditionalFormatting sqref="G43:L43">
    <cfRule type="expression" priority="9" stopIfTrue="1">
      <formula>SUM($G$43:$K$43)=0%</formula>
    </cfRule>
    <cfRule type="expression" dxfId="21" priority="10" stopIfTrue="1">
      <formula>SUM($G$43:$K$43)&lt;&gt;100%</formula>
    </cfRule>
  </conditionalFormatting>
  <conditionalFormatting sqref="G44:L44">
    <cfRule type="expression" priority="11" stopIfTrue="1">
      <formula>SUM($G$44:$K$44)=0%</formula>
    </cfRule>
    <cfRule type="expression" dxfId="20" priority="12" stopIfTrue="1">
      <formula>SUM($G$44:$K$44)&lt;&gt;100%</formula>
    </cfRule>
  </conditionalFormatting>
  <conditionalFormatting sqref="G45:L45">
    <cfRule type="expression" priority="13" stopIfTrue="1">
      <formula>SUM($G$45:$K$45)=0%</formula>
    </cfRule>
    <cfRule type="expression" dxfId="19" priority="14" stopIfTrue="1">
      <formula>SUM($G$45:$K$45)&lt;&gt;100%</formula>
    </cfRule>
  </conditionalFormatting>
  <conditionalFormatting sqref="G46:L46">
    <cfRule type="expression" priority="15" stopIfTrue="1">
      <formula>SUM($G$46:$K$46)=0%</formula>
    </cfRule>
    <cfRule type="expression" dxfId="18" priority="16" stopIfTrue="1">
      <formula>SUM($G$46:$K$46)&lt;&gt;100%</formula>
    </cfRule>
  </conditionalFormatting>
  <conditionalFormatting sqref="G47:L47">
    <cfRule type="expression" priority="17" stopIfTrue="1">
      <formula>SUM($G$47:$K$47)=0%</formula>
    </cfRule>
    <cfRule type="expression" dxfId="17" priority="18" stopIfTrue="1">
      <formula>SUM($G$47:$K$47)&lt;&gt;100%</formula>
    </cfRule>
  </conditionalFormatting>
  <conditionalFormatting sqref="G48:L48">
    <cfRule type="expression" priority="19" stopIfTrue="1">
      <formula>SUM($G$48:$K$48)=0%</formula>
    </cfRule>
    <cfRule type="expression" dxfId="16" priority="20" stopIfTrue="1">
      <formula>SUM($G$48:$K$48)&lt;&gt;100%</formula>
    </cfRule>
  </conditionalFormatting>
  <conditionalFormatting sqref="G49:L49">
    <cfRule type="expression" priority="21" stopIfTrue="1">
      <formula>SUM($G$49:$K$49)=0%</formula>
    </cfRule>
    <cfRule type="expression" dxfId="15" priority="22" stopIfTrue="1">
      <formula>SUM($G$49:$K$49)&lt;&gt;100%</formula>
    </cfRule>
  </conditionalFormatting>
  <conditionalFormatting sqref="G50:L50">
    <cfRule type="expression" priority="23" stopIfTrue="1">
      <formula>SUM($G$50:$K$50)=0%</formula>
    </cfRule>
    <cfRule type="expression" dxfId="14" priority="24" stopIfTrue="1">
      <formula>SUM($G$50:$K$50)&lt;&gt;100%</formula>
    </cfRule>
  </conditionalFormatting>
  <conditionalFormatting sqref="G51:L51">
    <cfRule type="expression" priority="25" stopIfTrue="1">
      <formula>SUM($G$51:$K$51)=0%</formula>
    </cfRule>
    <cfRule type="expression" dxfId="13" priority="26" stopIfTrue="1">
      <formula>SUM($G$51:$K$51)&lt;&gt;100%</formula>
    </cfRule>
  </conditionalFormatting>
  <conditionalFormatting sqref="G52:L52">
    <cfRule type="expression" priority="27" stopIfTrue="1">
      <formula>SUM($G$52:$K$52)=0%</formula>
    </cfRule>
    <cfRule type="expression" dxfId="12" priority="28" stopIfTrue="1">
      <formula>SUM($G$52:$K$52)&lt;&gt;100%</formula>
    </cfRule>
  </conditionalFormatting>
  <conditionalFormatting sqref="G53:L53">
    <cfRule type="expression" priority="29" stopIfTrue="1">
      <formula>SUM($G$53:$K$53)=0%</formula>
    </cfRule>
    <cfRule type="expression" dxfId="11" priority="30" stopIfTrue="1">
      <formula>SUM($G$53:$K$53)&lt;&gt;100%</formula>
    </cfRule>
  </conditionalFormatting>
  <conditionalFormatting sqref="G54:L54">
    <cfRule type="expression" priority="31" stopIfTrue="1">
      <formula>SUM($G$54:$K$54)=0%</formula>
    </cfRule>
    <cfRule type="expression" dxfId="10" priority="32" stopIfTrue="1">
      <formula>SUM($G$54:$K$54)&lt;&gt;100%</formula>
    </cfRule>
  </conditionalFormatting>
  <conditionalFormatting sqref="G55:L55">
    <cfRule type="expression" priority="33" stopIfTrue="1">
      <formula>SUM($G$55:$K$55)=0%</formula>
    </cfRule>
    <cfRule type="expression" dxfId="9" priority="34" stopIfTrue="1">
      <formula>SUM($G$55:$K$55)&lt;&gt;100%</formula>
    </cfRule>
  </conditionalFormatting>
  <conditionalFormatting sqref="G56:L56">
    <cfRule type="expression" priority="35" stopIfTrue="1">
      <formula>SUM($G$56:$K$56)=0%</formula>
    </cfRule>
    <cfRule type="expression" dxfId="8" priority="36" stopIfTrue="1">
      <formula>SUM($G$56:$K$56)&lt;&gt;100%</formula>
    </cfRule>
  </conditionalFormatting>
  <conditionalFormatting sqref="G57:L57">
    <cfRule type="expression" priority="37" stopIfTrue="1">
      <formula>SUM($G$57:$K$57)=0%</formula>
    </cfRule>
    <cfRule type="expression" dxfId="7" priority="38" stopIfTrue="1">
      <formula>SUM($G$57:$K$57)&lt;&gt;100%</formula>
    </cfRule>
  </conditionalFormatting>
  <conditionalFormatting sqref="G58:L58">
    <cfRule type="expression" priority="39" stopIfTrue="1">
      <formula>SUM($G$58:$K$58)=0%</formula>
    </cfRule>
    <cfRule type="expression" dxfId="6" priority="40" stopIfTrue="1">
      <formula>SUM($G$58:$K$58)&lt;&gt;100%</formula>
    </cfRule>
  </conditionalFormatting>
  <conditionalFormatting sqref="G59:L59">
    <cfRule type="expression" priority="41" stopIfTrue="1">
      <formula>SUM($G$59:$K$59)=0%</formula>
    </cfRule>
    <cfRule type="expression" dxfId="5" priority="42" stopIfTrue="1">
      <formula>SUM($G$59:$K$59)&lt;&gt;100%</formula>
    </cfRule>
  </conditionalFormatting>
  <conditionalFormatting sqref="G60:L60">
    <cfRule type="expression" priority="43" stopIfTrue="1">
      <formula>SUM($G$60:$K$60)=0%</formula>
    </cfRule>
    <cfRule type="expression" dxfId="4" priority="44" stopIfTrue="1">
      <formula>SUM($G$60:$K$60)&lt;&gt;100%</formula>
    </cfRule>
  </conditionalFormatting>
  <conditionalFormatting sqref="G61:L61">
    <cfRule type="expression" priority="45" stopIfTrue="1">
      <formula>SUM($G$61:$K$61)=0%</formula>
    </cfRule>
    <cfRule type="expression" dxfId="3" priority="46" stopIfTrue="1">
      <formula>SUM($G$61:$K$61)&lt;&gt;100%</formula>
    </cfRule>
  </conditionalFormatting>
  <conditionalFormatting sqref="G62:L62">
    <cfRule type="expression" priority="47" stopIfTrue="1">
      <formula>SUM($G$62:$K$62)=0%</formula>
    </cfRule>
    <cfRule type="expression" dxfId="2" priority="48" stopIfTrue="1">
      <formula>SUM($G$62:$K$62)&lt;&gt;100%</formula>
    </cfRule>
  </conditionalFormatting>
  <conditionalFormatting sqref="G63:L63">
    <cfRule type="expression" priority="49" stopIfTrue="1">
      <formula>SUM($G$63:$K$63)=0%</formula>
    </cfRule>
    <cfRule type="expression" dxfId="1" priority="50" stopIfTrue="1">
      <formula>SUM($G$63:$K$63)&lt;&gt;100%</formula>
    </cfRule>
  </conditionalFormatting>
  <conditionalFormatting sqref="G64:L64">
    <cfRule type="expression" priority="51" stopIfTrue="1">
      <formula>SUM($G$64:$K$64)=0%</formula>
    </cfRule>
    <cfRule type="expression" dxfId="0" priority="52" stopIfTrue="1">
      <formula>SUM($G$64:$K$64)&lt;&gt;100%</formula>
    </cfRule>
  </conditionalFormatting>
  <dataValidations count="2">
    <dataValidation operator="lessThanOrEqual" allowBlank="1" showInputMessage="1" showErrorMessage="1" sqref="N10:N34" xr:uid="{E91A3C4C-EDE9-4B80-8EDB-99EF03FC91D9}"/>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headerFooter>
    <oddHeader>&amp;CCommerce Commission Information Disclosure Template</oddHeader>
    <oddFooter>&amp;L&amp;F&amp;C&amp;P&amp;R&amp;A</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49"/>
  <sheetViews>
    <sheetView showGridLines="0" view="pageBreakPreview" topLeftCell="A7" zoomScale="90" zoomScaleNormal="100" zoomScaleSheetLayoutView="90" workbookViewId="0">
      <selection activeCell="E40" sqref="E40"/>
    </sheetView>
  </sheetViews>
  <sheetFormatPr defaultRowHeight="12.75" x14ac:dyDescent="0.2"/>
  <cols>
    <col min="1" max="1" width="4.5703125" style="4" customWidth="1"/>
    <col min="2" max="2" width="2.5703125" style="51" customWidth="1"/>
    <col min="3" max="3" width="6.140625" style="4" customWidth="1"/>
    <col min="4" max="4" width="2.28515625" style="11" customWidth="1"/>
    <col min="5" max="5" width="52.85546875" style="15" customWidth="1"/>
    <col min="6" max="7" width="16.140625" style="4" customWidth="1"/>
    <col min="8" max="8" width="18.42578125" style="4" customWidth="1"/>
    <col min="9" max="12" width="16.140625" style="4" customWidth="1"/>
    <col min="13" max="13" width="28.28515625" style="4" customWidth="1"/>
    <col min="14" max="14" width="55.7109375" style="4" customWidth="1"/>
    <col min="15" max="15" width="2.140625" style="4" customWidth="1"/>
    <col min="16" max="16384" width="9.140625" style="4"/>
  </cols>
  <sheetData>
    <row r="1" spans="1:15" s="8" customFormat="1" ht="15" customHeight="1" x14ac:dyDescent="0.2">
      <c r="A1" s="30"/>
      <c r="B1" s="31"/>
      <c r="C1" s="31"/>
      <c r="D1" s="31"/>
      <c r="E1" s="31"/>
      <c r="F1" s="31"/>
      <c r="G1" s="31"/>
      <c r="H1" s="31"/>
      <c r="I1" s="31"/>
      <c r="J1" s="31"/>
      <c r="K1" s="31"/>
      <c r="L1" s="31"/>
      <c r="M1" s="31"/>
      <c r="N1" s="31"/>
      <c r="O1" s="32"/>
    </row>
    <row r="2" spans="1:15" s="8" customFormat="1" ht="18" customHeight="1" x14ac:dyDescent="0.3">
      <c r="A2" s="33"/>
      <c r="B2" s="68"/>
      <c r="C2" s="68"/>
      <c r="D2" s="68"/>
      <c r="E2" s="68"/>
      <c r="F2" s="68"/>
      <c r="G2" s="68"/>
      <c r="H2" s="68"/>
      <c r="I2" s="68"/>
      <c r="J2" s="40"/>
      <c r="K2" s="42"/>
      <c r="L2" s="40"/>
      <c r="M2" s="42" t="s">
        <v>7</v>
      </c>
      <c r="N2" s="64" t="str">
        <f>IF(NOT(ISBLANK(CoverSheet!$C$8)),CoverSheet!$C$8,"")</f>
        <v>Aurora Energy Limited</v>
      </c>
      <c r="O2" s="25"/>
    </row>
    <row r="3" spans="1:15" s="8" customFormat="1" ht="18" customHeight="1" x14ac:dyDescent="0.25">
      <c r="A3" s="33"/>
      <c r="B3" s="68"/>
      <c r="C3" s="68"/>
      <c r="D3" s="68"/>
      <c r="E3" s="68"/>
      <c r="F3" s="68"/>
      <c r="G3" s="68"/>
      <c r="H3" s="68"/>
      <c r="I3" s="68"/>
      <c r="J3" s="40"/>
      <c r="K3" s="42"/>
      <c r="L3" s="40"/>
      <c r="M3" s="42" t="s">
        <v>81</v>
      </c>
      <c r="N3" s="65" t="str">
        <f>IF(ISNUMBER(CoverSheet!$C$12),TEXT(CoverSheet!$C$12,"_([$-1409]d mmmm yyyy;_(@")&amp;" –"&amp;TEXT(DATE(YEAR(CoverSheet!$C$12)+10,MONTH(CoverSheet!$C$12),DAY(CoverSheet!$C$12)-1),"_([$-1409]d mmmm yyyy;_(@"),"")</f>
        <v xml:space="preserve"> 1 April 2021 – 31 March 2031</v>
      </c>
      <c r="O3" s="25"/>
    </row>
    <row r="4" spans="1:15" s="8" customFormat="1" ht="21" x14ac:dyDescent="0.35">
      <c r="A4" s="85" t="s">
        <v>152</v>
      </c>
      <c r="B4" s="69"/>
      <c r="C4" s="68"/>
      <c r="D4" s="68"/>
      <c r="E4" s="68"/>
      <c r="F4" s="68"/>
      <c r="G4" s="68"/>
      <c r="H4" s="68"/>
      <c r="I4" s="68"/>
      <c r="J4" s="68"/>
      <c r="K4" s="56"/>
      <c r="L4" s="68"/>
      <c r="M4" s="68"/>
      <c r="N4" s="68"/>
      <c r="O4" s="25"/>
    </row>
    <row r="5" spans="1:15" s="146" customFormat="1" ht="42" customHeight="1" x14ac:dyDescent="0.2">
      <c r="A5" s="277" t="s">
        <v>218</v>
      </c>
      <c r="B5" s="278"/>
      <c r="C5" s="278"/>
      <c r="D5" s="278"/>
      <c r="E5" s="278"/>
      <c r="F5" s="278"/>
      <c r="G5" s="278"/>
      <c r="H5" s="278"/>
      <c r="I5" s="278"/>
      <c r="J5" s="278"/>
      <c r="K5" s="278"/>
      <c r="L5" s="278"/>
      <c r="M5" s="278"/>
      <c r="N5" s="145"/>
      <c r="O5" s="107"/>
    </row>
    <row r="6" spans="1:15" s="7" customFormat="1" ht="15" customHeight="1" x14ac:dyDescent="0.2">
      <c r="A6" s="38" t="s">
        <v>240</v>
      </c>
      <c r="B6" s="56"/>
      <c r="C6" s="56"/>
      <c r="D6" s="68"/>
      <c r="E6" s="68"/>
      <c r="F6" s="68"/>
      <c r="G6" s="68"/>
      <c r="H6" s="68"/>
      <c r="I6" s="68"/>
      <c r="J6" s="68"/>
      <c r="K6" s="68"/>
      <c r="L6" s="68"/>
      <c r="M6" s="68"/>
      <c r="N6" s="68"/>
      <c r="O6" s="25"/>
    </row>
    <row r="7" spans="1:15" s="7" customFormat="1" ht="30" customHeight="1" x14ac:dyDescent="0.3">
      <c r="A7" s="58">
        <v>7</v>
      </c>
      <c r="B7" s="44"/>
      <c r="C7" s="90" t="s">
        <v>159</v>
      </c>
      <c r="D7" s="67"/>
      <c r="E7" s="67"/>
      <c r="F7" s="67"/>
      <c r="G7" s="67"/>
      <c r="H7" s="67"/>
      <c r="I7" s="67"/>
      <c r="J7" s="67"/>
      <c r="K7" s="70"/>
      <c r="L7" s="70"/>
      <c r="M7" s="70"/>
      <c r="N7" s="70"/>
      <c r="O7" s="21"/>
    </row>
    <row r="8" spans="1:15" s="13" customFormat="1" ht="51" customHeight="1" x14ac:dyDescent="0.2">
      <c r="A8" s="45">
        <v>8</v>
      </c>
      <c r="B8" s="55"/>
      <c r="C8" s="91"/>
      <c r="D8" s="91"/>
      <c r="E8" s="144" t="s">
        <v>136</v>
      </c>
      <c r="F8" s="142" t="s">
        <v>137</v>
      </c>
      <c r="G8" s="142" t="s">
        <v>138</v>
      </c>
      <c r="H8" s="142" t="s">
        <v>139</v>
      </c>
      <c r="I8" s="182" t="s">
        <v>273</v>
      </c>
      <c r="J8" s="157" t="s">
        <v>256</v>
      </c>
      <c r="K8" s="157" t="s">
        <v>257</v>
      </c>
      <c r="L8" s="157" t="s">
        <v>258</v>
      </c>
      <c r="M8" s="182" t="s">
        <v>272</v>
      </c>
      <c r="N8" s="142" t="s">
        <v>135</v>
      </c>
      <c r="O8" s="29"/>
    </row>
    <row r="9" spans="1:15" ht="15.75" x14ac:dyDescent="0.25">
      <c r="A9" s="58">
        <v>9</v>
      </c>
      <c r="B9" s="44"/>
      <c r="C9" s="89"/>
      <c r="D9" s="88"/>
      <c r="E9" s="183" t="s">
        <v>319</v>
      </c>
      <c r="F9" s="168">
        <v>10.9</v>
      </c>
      <c r="G9" s="168">
        <v>15</v>
      </c>
      <c r="H9" s="168" t="s">
        <v>320</v>
      </c>
      <c r="I9" s="168">
        <v>0</v>
      </c>
      <c r="J9" s="195">
        <f>IF(G9=0,"-",F9/G9)</f>
        <v>0.72666666666666668</v>
      </c>
      <c r="K9" s="168">
        <v>15</v>
      </c>
      <c r="L9" s="177">
        <v>0.78</v>
      </c>
      <c r="M9" s="188" t="s">
        <v>358</v>
      </c>
      <c r="N9" s="183"/>
      <c r="O9" s="20"/>
    </row>
    <row r="10" spans="1:15" ht="15.75" x14ac:dyDescent="0.25">
      <c r="A10" s="58">
        <v>10</v>
      </c>
      <c r="B10" s="44"/>
      <c r="C10" s="89"/>
      <c r="D10" s="88"/>
      <c r="E10" s="266" t="s">
        <v>383</v>
      </c>
      <c r="F10" s="168">
        <v>15.1</v>
      </c>
      <c r="G10" s="168">
        <v>18</v>
      </c>
      <c r="H10" s="168" t="s">
        <v>321</v>
      </c>
      <c r="I10" s="168">
        <v>5</v>
      </c>
      <c r="J10" s="195">
        <f t="shared" ref="J10:J46" si="0">IF(G10=0,"-",F10/G10)</f>
        <v>0.83888888888888891</v>
      </c>
      <c r="K10" s="168">
        <v>18</v>
      </c>
      <c r="L10" s="177">
        <v>0.87</v>
      </c>
      <c r="M10" s="165" t="s">
        <v>358</v>
      </c>
      <c r="N10" s="183"/>
      <c r="O10" s="20"/>
    </row>
    <row r="11" spans="1:15" ht="39" x14ac:dyDescent="0.25">
      <c r="A11" s="58">
        <v>11</v>
      </c>
      <c r="B11" s="44"/>
      <c r="C11" s="89"/>
      <c r="D11" s="88"/>
      <c r="E11" s="183" t="s">
        <v>322</v>
      </c>
      <c r="F11" s="168">
        <v>10.1</v>
      </c>
      <c r="G11" s="168">
        <v>12</v>
      </c>
      <c r="H11" s="168" t="s">
        <v>320</v>
      </c>
      <c r="I11" s="168">
        <v>2</v>
      </c>
      <c r="J11" s="195">
        <f t="shared" si="0"/>
        <v>0.84166666666666667</v>
      </c>
      <c r="K11" s="168">
        <v>12</v>
      </c>
      <c r="L11" s="177">
        <v>0.91</v>
      </c>
      <c r="M11" s="165" t="s">
        <v>359</v>
      </c>
      <c r="N11" s="183" t="s">
        <v>363</v>
      </c>
      <c r="O11" s="20"/>
    </row>
    <row r="12" spans="1:15" ht="15.75" x14ac:dyDescent="0.25">
      <c r="A12" s="58">
        <v>12</v>
      </c>
      <c r="B12" s="44"/>
      <c r="C12" s="89"/>
      <c r="D12" s="88"/>
      <c r="E12" s="183" t="s">
        <v>323</v>
      </c>
      <c r="F12" s="168">
        <v>1.8</v>
      </c>
      <c r="G12" s="168">
        <v>0</v>
      </c>
      <c r="H12" s="168" t="s">
        <v>324</v>
      </c>
      <c r="I12" s="168">
        <v>2</v>
      </c>
      <c r="J12" s="195" t="str">
        <f t="shared" si="0"/>
        <v>-</v>
      </c>
      <c r="K12" s="168">
        <v>0</v>
      </c>
      <c r="L12" s="177">
        <v>0</v>
      </c>
      <c r="M12" s="165" t="s">
        <v>358</v>
      </c>
      <c r="N12" s="183"/>
      <c r="O12" s="20"/>
    </row>
    <row r="13" spans="1:15" ht="15.75" x14ac:dyDescent="0.25">
      <c r="A13" s="58">
        <v>13</v>
      </c>
      <c r="B13" s="44"/>
      <c r="C13" s="89"/>
      <c r="D13" s="88"/>
      <c r="E13" s="183" t="s">
        <v>325</v>
      </c>
      <c r="F13" s="168">
        <v>5.5</v>
      </c>
      <c r="G13" s="168">
        <v>0</v>
      </c>
      <c r="H13" s="168" t="s">
        <v>324</v>
      </c>
      <c r="I13" s="168">
        <v>2</v>
      </c>
      <c r="J13" s="195" t="str">
        <f t="shared" si="0"/>
        <v>-</v>
      </c>
      <c r="K13" s="168">
        <v>0</v>
      </c>
      <c r="L13" s="177">
        <v>0</v>
      </c>
      <c r="M13" s="165" t="s">
        <v>358</v>
      </c>
      <c r="N13" s="183"/>
      <c r="O13" s="20"/>
    </row>
    <row r="14" spans="1:15" ht="15.75" x14ac:dyDescent="0.25">
      <c r="A14" s="58">
        <v>14</v>
      </c>
      <c r="B14" s="44"/>
      <c r="C14" s="89"/>
      <c r="D14" s="88"/>
      <c r="E14" s="183" t="s">
        <v>326</v>
      </c>
      <c r="F14" s="168">
        <v>2.6</v>
      </c>
      <c r="G14" s="168">
        <v>0</v>
      </c>
      <c r="H14" s="168" t="s">
        <v>324</v>
      </c>
      <c r="I14" s="168">
        <v>1</v>
      </c>
      <c r="J14" s="195" t="str">
        <f t="shared" si="0"/>
        <v>-</v>
      </c>
      <c r="K14" s="168">
        <v>0</v>
      </c>
      <c r="L14" s="177">
        <v>0</v>
      </c>
      <c r="M14" s="165" t="s">
        <v>360</v>
      </c>
      <c r="N14" s="183" t="s">
        <v>364</v>
      </c>
      <c r="O14" s="20"/>
    </row>
    <row r="15" spans="1:15" ht="15.75" x14ac:dyDescent="0.25">
      <c r="A15" s="58">
        <v>15</v>
      </c>
      <c r="B15" s="44"/>
      <c r="C15" s="89"/>
      <c r="D15" s="88"/>
      <c r="E15" s="183" t="s">
        <v>327</v>
      </c>
      <c r="F15" s="168">
        <v>12.1</v>
      </c>
      <c r="G15" s="168">
        <v>22.8</v>
      </c>
      <c r="H15" s="168" t="s">
        <v>321</v>
      </c>
      <c r="I15" s="168">
        <v>6</v>
      </c>
      <c r="J15" s="195">
        <f t="shared" si="0"/>
        <v>0.5307017543859649</v>
      </c>
      <c r="K15" s="168">
        <v>22.8</v>
      </c>
      <c r="L15" s="177">
        <v>0.68</v>
      </c>
      <c r="M15" s="165" t="s">
        <v>358</v>
      </c>
      <c r="N15" s="183"/>
      <c r="O15" s="20"/>
    </row>
    <row r="16" spans="1:15" ht="15.75" x14ac:dyDescent="0.25">
      <c r="A16" s="58">
        <v>16</v>
      </c>
      <c r="B16" s="44"/>
      <c r="C16" s="89"/>
      <c r="D16" s="88"/>
      <c r="E16" s="183" t="s">
        <v>328</v>
      </c>
      <c r="F16" s="168">
        <v>3.7</v>
      </c>
      <c r="G16" s="168">
        <v>0</v>
      </c>
      <c r="H16" s="168" t="s">
        <v>324</v>
      </c>
      <c r="I16" s="168">
        <v>0</v>
      </c>
      <c r="J16" s="195" t="str">
        <f t="shared" si="0"/>
        <v>-</v>
      </c>
      <c r="K16" s="168">
        <v>0</v>
      </c>
      <c r="L16" s="177">
        <v>0</v>
      </c>
      <c r="M16" s="165" t="s">
        <v>358</v>
      </c>
      <c r="N16" s="183"/>
      <c r="O16" s="20"/>
    </row>
    <row r="17" spans="1:15" ht="15.75" x14ac:dyDescent="0.25">
      <c r="A17" s="58">
        <v>17</v>
      </c>
      <c r="B17" s="44"/>
      <c r="C17" s="89"/>
      <c r="D17" s="88"/>
      <c r="E17" s="183" t="s">
        <v>329</v>
      </c>
      <c r="F17" s="168">
        <v>10.7</v>
      </c>
      <c r="G17" s="168">
        <v>17</v>
      </c>
      <c r="H17" s="168" t="s">
        <v>320</v>
      </c>
      <c r="I17" s="168">
        <v>6</v>
      </c>
      <c r="J17" s="195">
        <f t="shared" si="0"/>
        <v>0.62941176470588234</v>
      </c>
      <c r="K17" s="168">
        <v>17</v>
      </c>
      <c r="L17" s="177">
        <v>0.65</v>
      </c>
      <c r="M17" s="165" t="s">
        <v>358</v>
      </c>
      <c r="N17" s="183"/>
      <c r="O17" s="20"/>
    </row>
    <row r="18" spans="1:15" ht="15.75" x14ac:dyDescent="0.25">
      <c r="A18" s="58">
        <v>18</v>
      </c>
      <c r="B18" s="44"/>
      <c r="C18" s="89"/>
      <c r="D18" s="88"/>
      <c r="E18" s="183" t="s">
        <v>330</v>
      </c>
      <c r="F18" s="168">
        <v>5.3</v>
      </c>
      <c r="G18" s="168">
        <v>0</v>
      </c>
      <c r="H18" s="168" t="s">
        <v>324</v>
      </c>
      <c r="I18" s="168">
        <v>2</v>
      </c>
      <c r="J18" s="195" t="str">
        <f t="shared" si="0"/>
        <v>-</v>
      </c>
      <c r="K18" s="168">
        <v>0</v>
      </c>
      <c r="L18" s="177">
        <v>0</v>
      </c>
      <c r="M18" s="165" t="s">
        <v>358</v>
      </c>
      <c r="N18" s="183"/>
      <c r="O18" s="20"/>
    </row>
    <row r="19" spans="1:15" ht="15.75" x14ac:dyDescent="0.25">
      <c r="A19" s="58">
        <v>19</v>
      </c>
      <c r="B19" s="44"/>
      <c r="C19" s="89"/>
      <c r="D19" s="88"/>
      <c r="E19" s="183" t="s">
        <v>331</v>
      </c>
      <c r="F19" s="168">
        <v>12.6</v>
      </c>
      <c r="G19" s="168">
        <v>23</v>
      </c>
      <c r="H19" s="168" t="s">
        <v>321</v>
      </c>
      <c r="I19" s="168">
        <v>6</v>
      </c>
      <c r="J19" s="195">
        <f t="shared" si="0"/>
        <v>0.54782608695652169</v>
      </c>
      <c r="K19" s="168">
        <v>23</v>
      </c>
      <c r="L19" s="177">
        <v>0.56999999999999995</v>
      </c>
      <c r="M19" s="165" t="s">
        <v>358</v>
      </c>
      <c r="N19" s="183"/>
      <c r="O19" s="20"/>
    </row>
    <row r="20" spans="1:15" ht="15.75" x14ac:dyDescent="0.25">
      <c r="A20" s="58">
        <v>20</v>
      </c>
      <c r="B20" s="44"/>
      <c r="C20" s="89"/>
      <c r="D20" s="88"/>
      <c r="E20" s="183" t="s">
        <v>332</v>
      </c>
      <c r="F20" s="168">
        <v>12.7</v>
      </c>
      <c r="G20" s="168">
        <v>23</v>
      </c>
      <c r="H20" s="168" t="s">
        <v>320</v>
      </c>
      <c r="I20" s="168">
        <v>0</v>
      </c>
      <c r="J20" s="195">
        <f t="shared" si="0"/>
        <v>0.55217391304347818</v>
      </c>
      <c r="K20" s="168">
        <v>24</v>
      </c>
      <c r="L20" s="177">
        <v>0.62</v>
      </c>
      <c r="M20" s="165" t="s">
        <v>358</v>
      </c>
      <c r="N20" s="183"/>
      <c r="O20" s="20"/>
    </row>
    <row r="21" spans="1:15" ht="15.75" x14ac:dyDescent="0.25">
      <c r="A21" s="58">
        <v>21</v>
      </c>
      <c r="B21" s="44"/>
      <c r="C21" s="89"/>
      <c r="D21" s="88"/>
      <c r="E21" s="183" t="s">
        <v>333</v>
      </c>
      <c r="F21" s="168">
        <v>1.9</v>
      </c>
      <c r="G21" s="168">
        <v>0</v>
      </c>
      <c r="H21" s="168" t="s">
        <v>324</v>
      </c>
      <c r="I21" s="168">
        <v>1.4</v>
      </c>
      <c r="J21" s="195" t="str">
        <f t="shared" si="0"/>
        <v>-</v>
      </c>
      <c r="K21" s="168">
        <v>0</v>
      </c>
      <c r="L21" s="177">
        <v>0</v>
      </c>
      <c r="M21" s="165" t="s">
        <v>358</v>
      </c>
      <c r="N21" s="183"/>
      <c r="O21" s="20"/>
    </row>
    <row r="22" spans="1:15" ht="39" x14ac:dyDescent="0.25">
      <c r="A22" s="58">
        <v>22</v>
      </c>
      <c r="B22" s="44"/>
      <c r="C22" s="89"/>
      <c r="D22" s="88"/>
      <c r="E22" s="183" t="s">
        <v>334</v>
      </c>
      <c r="F22" s="168">
        <v>0</v>
      </c>
      <c r="G22" s="168">
        <v>0</v>
      </c>
      <c r="H22" s="168" t="s">
        <v>324</v>
      </c>
      <c r="I22" s="168">
        <v>0</v>
      </c>
      <c r="J22" s="195" t="str">
        <f t="shared" si="0"/>
        <v>-</v>
      </c>
      <c r="K22" s="168">
        <v>0</v>
      </c>
      <c r="L22" s="177">
        <v>0</v>
      </c>
      <c r="M22" s="165" t="s">
        <v>358</v>
      </c>
      <c r="N22" s="183" t="s">
        <v>365</v>
      </c>
      <c r="O22" s="20"/>
    </row>
    <row r="23" spans="1:15" ht="15.75" x14ac:dyDescent="0.25">
      <c r="A23" s="58">
        <v>23</v>
      </c>
      <c r="B23" s="44"/>
      <c r="C23" s="89"/>
      <c r="D23" s="88"/>
      <c r="E23" s="183" t="s">
        <v>335</v>
      </c>
      <c r="F23" s="168">
        <v>16</v>
      </c>
      <c r="G23" s="168">
        <v>24</v>
      </c>
      <c r="H23" s="168" t="s">
        <v>320</v>
      </c>
      <c r="I23" s="168">
        <v>4</v>
      </c>
      <c r="J23" s="195">
        <f t="shared" si="0"/>
        <v>0.66666666666666663</v>
      </c>
      <c r="K23" s="168">
        <v>24</v>
      </c>
      <c r="L23" s="177">
        <v>0.71</v>
      </c>
      <c r="M23" s="165" t="s">
        <v>358</v>
      </c>
      <c r="N23" s="183"/>
      <c r="O23" s="20"/>
    </row>
    <row r="24" spans="1:15" ht="15.75" x14ac:dyDescent="0.25">
      <c r="A24" s="58">
        <v>24</v>
      </c>
      <c r="B24" s="44"/>
      <c r="C24" s="89"/>
      <c r="D24" s="88"/>
      <c r="E24" s="183" t="s">
        <v>336</v>
      </c>
      <c r="F24" s="168">
        <v>1.6</v>
      </c>
      <c r="G24" s="168">
        <v>0</v>
      </c>
      <c r="H24" s="168" t="s">
        <v>324</v>
      </c>
      <c r="I24" s="168">
        <v>2</v>
      </c>
      <c r="J24" s="195" t="str">
        <f t="shared" si="0"/>
        <v>-</v>
      </c>
      <c r="K24" s="168">
        <v>0</v>
      </c>
      <c r="L24" s="177">
        <v>0</v>
      </c>
      <c r="M24" s="165" t="s">
        <v>358</v>
      </c>
      <c r="N24" s="183"/>
      <c r="O24" s="20"/>
    </row>
    <row r="25" spans="1:15" ht="15.75" x14ac:dyDescent="0.25">
      <c r="A25" s="58">
        <v>25</v>
      </c>
      <c r="B25" s="44"/>
      <c r="C25" s="89"/>
      <c r="D25" s="88"/>
      <c r="E25" s="183" t="s">
        <v>337</v>
      </c>
      <c r="F25" s="168">
        <v>5.9</v>
      </c>
      <c r="G25" s="168">
        <v>10</v>
      </c>
      <c r="H25" s="168" t="s">
        <v>320</v>
      </c>
      <c r="I25" s="168">
        <v>4</v>
      </c>
      <c r="J25" s="195">
        <f t="shared" si="0"/>
        <v>0.59000000000000008</v>
      </c>
      <c r="K25" s="168">
        <v>10</v>
      </c>
      <c r="L25" s="177">
        <v>0.7</v>
      </c>
      <c r="M25" s="165" t="s">
        <v>358</v>
      </c>
      <c r="N25" s="183"/>
      <c r="O25" s="20"/>
    </row>
    <row r="26" spans="1:15" ht="39" x14ac:dyDescent="0.25">
      <c r="A26" s="58">
        <v>26</v>
      </c>
      <c r="B26" s="44"/>
      <c r="C26" s="89"/>
      <c r="D26" s="88"/>
      <c r="E26" s="183" t="s">
        <v>338</v>
      </c>
      <c r="F26" s="168">
        <v>16.600000000000001</v>
      </c>
      <c r="G26" s="168">
        <v>15</v>
      </c>
      <c r="H26" s="168" t="s">
        <v>321</v>
      </c>
      <c r="I26" s="168">
        <v>6</v>
      </c>
      <c r="J26" s="195">
        <f t="shared" si="0"/>
        <v>1.1066666666666667</v>
      </c>
      <c r="K26" s="168">
        <v>15</v>
      </c>
      <c r="L26" s="177">
        <v>1.3</v>
      </c>
      <c r="M26" s="165" t="s">
        <v>360</v>
      </c>
      <c r="N26" s="183" t="s">
        <v>366</v>
      </c>
      <c r="O26" s="20"/>
    </row>
    <row r="27" spans="1:15" ht="15.75" x14ac:dyDescent="0.25">
      <c r="A27" s="58">
        <v>27</v>
      </c>
      <c r="B27" s="44"/>
      <c r="C27" s="89"/>
      <c r="D27" s="88"/>
      <c r="E27" s="183" t="s">
        <v>339</v>
      </c>
      <c r="F27" s="168">
        <v>14</v>
      </c>
      <c r="G27" s="168">
        <v>18</v>
      </c>
      <c r="H27" s="168" t="s">
        <v>321</v>
      </c>
      <c r="I27" s="168">
        <v>6</v>
      </c>
      <c r="J27" s="195">
        <f t="shared" si="0"/>
        <v>0.77777777777777779</v>
      </c>
      <c r="K27" s="168">
        <v>18</v>
      </c>
      <c r="L27" s="177">
        <v>0.82</v>
      </c>
      <c r="M27" s="265" t="s">
        <v>358</v>
      </c>
      <c r="N27" s="183"/>
      <c r="O27" s="20"/>
    </row>
    <row r="28" spans="1:15" s="264" customFormat="1" ht="15.75" x14ac:dyDescent="0.25">
      <c r="A28" s="58"/>
      <c r="B28" s="44"/>
      <c r="C28" s="89"/>
      <c r="D28" s="88"/>
      <c r="E28" s="183" t="s">
        <v>340</v>
      </c>
      <c r="F28" s="194">
        <v>13</v>
      </c>
      <c r="G28" s="194">
        <v>18</v>
      </c>
      <c r="H28" s="194" t="s">
        <v>321</v>
      </c>
      <c r="I28" s="194">
        <v>6</v>
      </c>
      <c r="J28" s="195">
        <f t="shared" si="0"/>
        <v>0.72222222222222221</v>
      </c>
      <c r="K28" s="194">
        <v>24</v>
      </c>
      <c r="L28" s="177">
        <v>0.55000000000000004</v>
      </c>
      <c r="M28" s="265" t="s">
        <v>358</v>
      </c>
      <c r="N28" s="183"/>
      <c r="O28" s="20"/>
    </row>
    <row r="29" spans="1:15" s="264" customFormat="1" ht="15.75" x14ac:dyDescent="0.25">
      <c r="A29" s="58"/>
      <c r="B29" s="44"/>
      <c r="C29" s="89"/>
      <c r="D29" s="88"/>
      <c r="E29" s="266" t="s">
        <v>381</v>
      </c>
      <c r="F29" s="194">
        <v>9.9</v>
      </c>
      <c r="G29" s="194">
        <v>23</v>
      </c>
      <c r="H29" s="194" t="s">
        <v>321</v>
      </c>
      <c r="I29" s="194">
        <v>4</v>
      </c>
      <c r="J29" s="195">
        <f t="shared" si="0"/>
        <v>0.43043478260869567</v>
      </c>
      <c r="K29" s="194">
        <v>23</v>
      </c>
      <c r="L29" s="177">
        <v>0.44</v>
      </c>
      <c r="M29" s="265" t="s">
        <v>358</v>
      </c>
      <c r="N29" s="183"/>
      <c r="O29" s="20"/>
    </row>
    <row r="30" spans="1:15" s="264" customFormat="1" ht="15.75" x14ac:dyDescent="0.25">
      <c r="A30" s="58"/>
      <c r="B30" s="44"/>
      <c r="C30" s="89"/>
      <c r="D30" s="88"/>
      <c r="E30" s="183" t="s">
        <v>341</v>
      </c>
      <c r="F30" s="194">
        <v>1</v>
      </c>
      <c r="G30" s="194">
        <v>0</v>
      </c>
      <c r="H30" s="194" t="s">
        <v>324</v>
      </c>
      <c r="I30" s="194">
        <v>1</v>
      </c>
      <c r="J30" s="195" t="str">
        <f t="shared" si="0"/>
        <v>-</v>
      </c>
      <c r="K30" s="194">
        <v>0</v>
      </c>
      <c r="L30" s="177">
        <v>0</v>
      </c>
      <c r="M30" s="265" t="s">
        <v>358</v>
      </c>
      <c r="N30" s="183"/>
      <c r="O30" s="20"/>
    </row>
    <row r="31" spans="1:15" s="264" customFormat="1" ht="26.25" x14ac:dyDescent="0.25">
      <c r="A31" s="58"/>
      <c r="B31" s="44"/>
      <c r="C31" s="89"/>
      <c r="D31" s="88"/>
      <c r="E31" s="183" t="s">
        <v>342</v>
      </c>
      <c r="F31" s="194">
        <v>6.5</v>
      </c>
      <c r="G31" s="194">
        <v>0</v>
      </c>
      <c r="H31" s="194" t="s">
        <v>324</v>
      </c>
      <c r="I31" s="194">
        <v>4</v>
      </c>
      <c r="J31" s="195" t="str">
        <f t="shared" si="0"/>
        <v>-</v>
      </c>
      <c r="K31" s="194">
        <v>0</v>
      </c>
      <c r="L31" s="177">
        <v>0</v>
      </c>
      <c r="M31" s="265" t="s">
        <v>360</v>
      </c>
      <c r="N31" s="183" t="s">
        <v>367</v>
      </c>
      <c r="O31" s="20"/>
    </row>
    <row r="32" spans="1:15" s="264" customFormat="1" ht="15.75" x14ac:dyDescent="0.25">
      <c r="A32" s="58"/>
      <c r="B32" s="44"/>
      <c r="C32" s="89"/>
      <c r="D32" s="88"/>
      <c r="E32" s="183" t="s">
        <v>343</v>
      </c>
      <c r="F32" s="194">
        <v>6.7</v>
      </c>
      <c r="G32" s="194">
        <v>12</v>
      </c>
      <c r="H32" s="194" t="s">
        <v>320</v>
      </c>
      <c r="I32" s="194">
        <v>3</v>
      </c>
      <c r="J32" s="195">
        <f t="shared" si="0"/>
        <v>0.55833333333333335</v>
      </c>
      <c r="K32" s="194">
        <v>12</v>
      </c>
      <c r="L32" s="177">
        <v>0.64</v>
      </c>
      <c r="M32" s="265" t="s">
        <v>358</v>
      </c>
      <c r="N32" s="183"/>
      <c r="O32" s="20"/>
    </row>
    <row r="33" spans="1:15" s="264" customFormat="1" ht="39" x14ac:dyDescent="0.25">
      <c r="A33" s="58"/>
      <c r="B33" s="44"/>
      <c r="C33" s="89"/>
      <c r="D33" s="88"/>
      <c r="E33" s="183" t="s">
        <v>344</v>
      </c>
      <c r="F33" s="194">
        <v>15.5</v>
      </c>
      <c r="G33" s="194">
        <v>28</v>
      </c>
      <c r="H33" s="194" t="s">
        <v>321</v>
      </c>
      <c r="I33" s="194">
        <v>6</v>
      </c>
      <c r="J33" s="195">
        <f t="shared" si="0"/>
        <v>0.5535714285714286</v>
      </c>
      <c r="K33" s="194">
        <v>28</v>
      </c>
      <c r="L33" s="177">
        <v>0.56000000000000005</v>
      </c>
      <c r="M33" s="265" t="s">
        <v>358</v>
      </c>
      <c r="N33" s="183" t="s">
        <v>361</v>
      </c>
      <c r="O33" s="20"/>
    </row>
    <row r="34" spans="1:15" s="264" customFormat="1" ht="15.75" x14ac:dyDescent="0.25">
      <c r="A34" s="58"/>
      <c r="B34" s="44"/>
      <c r="C34" s="89"/>
      <c r="D34" s="88"/>
      <c r="E34" s="266" t="s">
        <v>382</v>
      </c>
      <c r="F34" s="194">
        <v>10.199999999999999</v>
      </c>
      <c r="G34" s="194">
        <v>18</v>
      </c>
      <c r="H34" s="194" t="s">
        <v>321</v>
      </c>
      <c r="I34" s="194">
        <v>4</v>
      </c>
      <c r="J34" s="195">
        <f t="shared" si="0"/>
        <v>0.56666666666666665</v>
      </c>
      <c r="K34" s="194">
        <v>18</v>
      </c>
      <c r="L34" s="177">
        <v>0.59</v>
      </c>
      <c r="M34" s="265" t="s">
        <v>358</v>
      </c>
      <c r="N34" s="183"/>
      <c r="O34" s="20"/>
    </row>
    <row r="35" spans="1:15" s="264" customFormat="1" ht="15.75" x14ac:dyDescent="0.25">
      <c r="A35" s="58"/>
      <c r="B35" s="44"/>
      <c r="C35" s="89"/>
      <c r="D35" s="88"/>
      <c r="E35" s="183" t="s">
        <v>345</v>
      </c>
      <c r="F35" s="194">
        <v>3.4</v>
      </c>
      <c r="G35" s="194">
        <v>0</v>
      </c>
      <c r="H35" s="194" t="s">
        <v>324</v>
      </c>
      <c r="I35" s="194">
        <v>2</v>
      </c>
      <c r="J35" s="195" t="str">
        <f t="shared" si="0"/>
        <v>-</v>
      </c>
      <c r="K35" s="194">
        <v>0</v>
      </c>
      <c r="L35" s="177">
        <v>0</v>
      </c>
      <c r="M35" s="265" t="s">
        <v>360</v>
      </c>
      <c r="N35" s="183" t="s">
        <v>368</v>
      </c>
      <c r="O35" s="20"/>
    </row>
    <row r="36" spans="1:15" s="264" customFormat="1" ht="15.75" x14ac:dyDescent="0.25">
      <c r="A36" s="58"/>
      <c r="B36" s="44"/>
      <c r="C36" s="89"/>
      <c r="D36" s="88"/>
      <c r="E36" s="183" t="s">
        <v>346</v>
      </c>
      <c r="F36" s="194">
        <v>2.9</v>
      </c>
      <c r="G36" s="194">
        <v>0</v>
      </c>
      <c r="H36" s="194" t="s">
        <v>324</v>
      </c>
      <c r="I36" s="194">
        <v>2</v>
      </c>
      <c r="J36" s="195" t="str">
        <f t="shared" si="0"/>
        <v>-</v>
      </c>
      <c r="K36" s="194">
        <v>0</v>
      </c>
      <c r="L36" s="177">
        <v>0</v>
      </c>
      <c r="M36" s="265" t="s">
        <v>358</v>
      </c>
      <c r="N36" s="183"/>
      <c r="O36" s="20"/>
    </row>
    <row r="37" spans="1:15" s="264" customFormat="1" ht="15.75" x14ac:dyDescent="0.25">
      <c r="A37" s="58"/>
      <c r="B37" s="44"/>
      <c r="C37" s="89"/>
      <c r="D37" s="88"/>
      <c r="E37" s="183" t="s">
        <v>347</v>
      </c>
      <c r="F37" s="194">
        <v>7.2</v>
      </c>
      <c r="G37" s="194">
        <v>10</v>
      </c>
      <c r="H37" s="194" t="s">
        <v>321</v>
      </c>
      <c r="I37" s="194">
        <v>3</v>
      </c>
      <c r="J37" s="195">
        <f t="shared" si="0"/>
        <v>0.72</v>
      </c>
      <c r="K37" s="194">
        <v>10</v>
      </c>
      <c r="L37" s="177">
        <v>0.76</v>
      </c>
      <c r="M37" s="265" t="s">
        <v>358</v>
      </c>
      <c r="N37" s="183"/>
      <c r="O37" s="20"/>
    </row>
    <row r="38" spans="1:15" s="264" customFormat="1" ht="15.75" x14ac:dyDescent="0.25">
      <c r="A38" s="58"/>
      <c r="B38" s="44"/>
      <c r="C38" s="89"/>
      <c r="D38" s="88"/>
      <c r="E38" s="183" t="s">
        <v>348</v>
      </c>
      <c r="F38" s="194">
        <v>3.2</v>
      </c>
      <c r="G38" s="194">
        <v>0</v>
      </c>
      <c r="H38" s="194" t="s">
        <v>324</v>
      </c>
      <c r="I38" s="194">
        <v>2</v>
      </c>
      <c r="J38" s="195" t="str">
        <f t="shared" si="0"/>
        <v>-</v>
      </c>
      <c r="K38" s="194">
        <v>0</v>
      </c>
      <c r="L38" s="177">
        <v>0</v>
      </c>
      <c r="M38" s="265" t="s">
        <v>358</v>
      </c>
      <c r="N38" s="183"/>
      <c r="O38" s="20"/>
    </row>
    <row r="39" spans="1:15" s="264" customFormat="1" ht="15.75" x14ac:dyDescent="0.25">
      <c r="A39" s="58"/>
      <c r="B39" s="44"/>
      <c r="C39" s="89"/>
      <c r="D39" s="88"/>
      <c r="E39" s="183" t="s">
        <v>349</v>
      </c>
      <c r="F39" s="194">
        <v>13.3</v>
      </c>
      <c r="G39" s="194">
        <v>20</v>
      </c>
      <c r="H39" s="194" t="s">
        <v>320</v>
      </c>
      <c r="I39" s="194">
        <v>6</v>
      </c>
      <c r="J39" s="195">
        <f t="shared" si="0"/>
        <v>0.66500000000000004</v>
      </c>
      <c r="K39" s="194">
        <v>20</v>
      </c>
      <c r="L39" s="177">
        <v>0.77</v>
      </c>
      <c r="M39" s="265" t="s">
        <v>358</v>
      </c>
      <c r="N39" s="183"/>
      <c r="O39" s="20"/>
    </row>
    <row r="40" spans="1:15" s="264" customFormat="1" ht="15.75" x14ac:dyDescent="0.25">
      <c r="A40" s="58"/>
      <c r="B40" s="44"/>
      <c r="C40" s="89"/>
      <c r="D40" s="88"/>
      <c r="E40" s="183" t="s">
        <v>350</v>
      </c>
      <c r="F40" s="194">
        <v>2.2999999999999998</v>
      </c>
      <c r="G40" s="194">
        <v>0</v>
      </c>
      <c r="H40" s="194" t="s">
        <v>324</v>
      </c>
      <c r="I40" s="194">
        <v>0</v>
      </c>
      <c r="J40" s="195" t="str">
        <f t="shared" si="0"/>
        <v>-</v>
      </c>
      <c r="K40" s="194">
        <v>0</v>
      </c>
      <c r="L40" s="177">
        <v>0</v>
      </c>
      <c r="M40" s="265" t="s">
        <v>358</v>
      </c>
      <c r="N40" s="183"/>
      <c r="O40" s="20"/>
    </row>
    <row r="41" spans="1:15" s="264" customFormat="1" ht="15.75" x14ac:dyDescent="0.25">
      <c r="A41" s="58"/>
      <c r="B41" s="44"/>
      <c r="C41" s="89"/>
      <c r="D41" s="88"/>
      <c r="E41" s="183" t="s">
        <v>351</v>
      </c>
      <c r="F41" s="194">
        <v>2</v>
      </c>
      <c r="G41" s="194">
        <v>0</v>
      </c>
      <c r="H41" s="194" t="s">
        <v>324</v>
      </c>
      <c r="I41" s="194">
        <v>1</v>
      </c>
      <c r="J41" s="195" t="str">
        <f t="shared" si="0"/>
        <v>-</v>
      </c>
      <c r="K41" s="194">
        <v>0</v>
      </c>
      <c r="L41" s="177">
        <v>0</v>
      </c>
      <c r="M41" s="265" t="s">
        <v>358</v>
      </c>
      <c r="N41" s="183"/>
      <c r="O41" s="20"/>
    </row>
    <row r="42" spans="1:15" s="264" customFormat="1" ht="15.75" x14ac:dyDescent="0.25">
      <c r="A42" s="58"/>
      <c r="B42" s="44"/>
      <c r="C42" s="89"/>
      <c r="D42" s="88"/>
      <c r="E42" s="183" t="s">
        <v>352</v>
      </c>
      <c r="F42" s="194">
        <v>13.9</v>
      </c>
      <c r="G42" s="194">
        <v>18</v>
      </c>
      <c r="H42" s="194" t="s">
        <v>321</v>
      </c>
      <c r="I42" s="194">
        <v>6</v>
      </c>
      <c r="J42" s="195">
        <f t="shared" si="0"/>
        <v>0.77222222222222225</v>
      </c>
      <c r="K42" s="194">
        <v>18</v>
      </c>
      <c r="L42" s="177">
        <v>0.78</v>
      </c>
      <c r="M42" s="265" t="s">
        <v>358</v>
      </c>
      <c r="N42" s="183"/>
      <c r="O42" s="20"/>
    </row>
    <row r="43" spans="1:15" s="264" customFormat="1" ht="15.75" x14ac:dyDescent="0.25">
      <c r="A43" s="58"/>
      <c r="B43" s="44"/>
      <c r="C43" s="89"/>
      <c r="D43" s="88"/>
      <c r="E43" s="183" t="s">
        <v>353</v>
      </c>
      <c r="F43" s="194">
        <v>14.5</v>
      </c>
      <c r="G43" s="194">
        <v>18</v>
      </c>
      <c r="H43" s="194" t="s">
        <v>321</v>
      </c>
      <c r="I43" s="194">
        <v>6</v>
      </c>
      <c r="J43" s="195">
        <f t="shared" si="0"/>
        <v>0.80555555555555558</v>
      </c>
      <c r="K43" s="194">
        <v>18</v>
      </c>
      <c r="L43" s="177">
        <v>0.81</v>
      </c>
      <c r="M43" s="265" t="s">
        <v>358</v>
      </c>
      <c r="N43" s="183"/>
      <c r="O43" s="20"/>
    </row>
    <row r="44" spans="1:15" s="264" customFormat="1" ht="15.75" x14ac:dyDescent="0.25">
      <c r="A44" s="58"/>
      <c r="B44" s="44"/>
      <c r="C44" s="89"/>
      <c r="D44" s="88"/>
      <c r="E44" s="183" t="s">
        <v>354</v>
      </c>
      <c r="F44" s="194">
        <v>14.2</v>
      </c>
      <c r="G44" s="194">
        <v>23</v>
      </c>
      <c r="H44" s="194" t="s">
        <v>321</v>
      </c>
      <c r="I44" s="194">
        <v>6</v>
      </c>
      <c r="J44" s="195">
        <f t="shared" si="0"/>
        <v>0.61739130434782608</v>
      </c>
      <c r="K44" s="194">
        <v>23</v>
      </c>
      <c r="L44" s="177">
        <v>0.63</v>
      </c>
      <c r="M44" s="265" t="s">
        <v>358</v>
      </c>
      <c r="N44" s="183"/>
      <c r="O44" s="20"/>
    </row>
    <row r="45" spans="1:15" s="264" customFormat="1" ht="39" x14ac:dyDescent="0.25">
      <c r="A45" s="58"/>
      <c r="B45" s="44"/>
      <c r="C45" s="89"/>
      <c r="D45" s="88"/>
      <c r="E45" s="183" t="s">
        <v>355</v>
      </c>
      <c r="F45" s="194">
        <v>24.47</v>
      </c>
      <c r="G45" s="194">
        <v>24</v>
      </c>
      <c r="H45" s="194" t="s">
        <v>321</v>
      </c>
      <c r="I45" s="194">
        <v>1</v>
      </c>
      <c r="J45" s="195">
        <f t="shared" si="0"/>
        <v>1.0195833333333333</v>
      </c>
      <c r="K45" s="194">
        <v>24</v>
      </c>
      <c r="L45" s="177">
        <v>1.17</v>
      </c>
      <c r="M45" s="265" t="s">
        <v>360</v>
      </c>
      <c r="N45" s="183" t="s">
        <v>362</v>
      </c>
      <c r="O45" s="20"/>
    </row>
    <row r="46" spans="1:15" s="264" customFormat="1" ht="15.75" x14ac:dyDescent="0.25">
      <c r="A46" s="58"/>
      <c r="B46" s="44"/>
      <c r="C46" s="89"/>
      <c r="D46" s="88"/>
      <c r="E46" s="183" t="s">
        <v>356</v>
      </c>
      <c r="F46" s="194">
        <v>9.1999999999999993</v>
      </c>
      <c r="G46" s="194">
        <v>23</v>
      </c>
      <c r="H46" s="194" t="s">
        <v>321</v>
      </c>
      <c r="I46" s="194">
        <v>6</v>
      </c>
      <c r="J46" s="195">
        <f t="shared" si="0"/>
        <v>0.39999999999999997</v>
      </c>
      <c r="K46" s="194">
        <v>23</v>
      </c>
      <c r="L46" s="177">
        <v>0.43</v>
      </c>
      <c r="M46" s="265" t="s">
        <v>358</v>
      </c>
      <c r="N46" s="183"/>
      <c r="O46" s="20"/>
    </row>
    <row r="47" spans="1:15" ht="15.75" x14ac:dyDescent="0.25">
      <c r="A47" s="58">
        <v>28</v>
      </c>
      <c r="B47" s="44"/>
      <c r="C47" s="89"/>
      <c r="D47" s="88"/>
      <c r="E47" s="183" t="s">
        <v>357</v>
      </c>
      <c r="F47" s="168">
        <v>11.7</v>
      </c>
      <c r="G47" s="168">
        <v>18</v>
      </c>
      <c r="H47" s="168" t="s">
        <v>321</v>
      </c>
      <c r="I47" s="168">
        <v>4</v>
      </c>
      <c r="J47" s="195">
        <f t="shared" ref="J47" si="1">IF(G47=0,"-",F47/G47)</f>
        <v>0.64999999999999991</v>
      </c>
      <c r="K47" s="168">
        <v>18</v>
      </c>
      <c r="L47" s="177">
        <v>0.66</v>
      </c>
      <c r="M47" s="165" t="s">
        <v>358</v>
      </c>
      <c r="N47" s="183"/>
      <c r="O47" s="20"/>
    </row>
    <row r="48" spans="1:15" s="10" customFormat="1" ht="15.75" x14ac:dyDescent="0.25">
      <c r="A48" s="58">
        <v>29</v>
      </c>
      <c r="B48" s="44"/>
      <c r="C48" s="88"/>
      <c r="D48" s="88"/>
      <c r="E48" s="87" t="s">
        <v>63</v>
      </c>
      <c r="F48" s="102"/>
      <c r="G48" s="102"/>
      <c r="H48" s="102"/>
      <c r="I48" s="102"/>
      <c r="J48" s="102"/>
      <c r="K48" s="102"/>
      <c r="L48" s="102"/>
      <c r="M48" s="102"/>
      <c r="N48" s="102"/>
      <c r="O48" s="20"/>
    </row>
    <row r="49" spans="1:15" s="17" customFormat="1" x14ac:dyDescent="0.2">
      <c r="A49" s="22"/>
      <c r="B49" s="54"/>
      <c r="C49" s="23"/>
      <c r="D49" s="23"/>
      <c r="E49" s="23"/>
      <c r="F49" s="23"/>
      <c r="G49" s="23"/>
      <c r="H49" s="23"/>
      <c r="I49" s="23"/>
      <c r="J49" s="23"/>
      <c r="K49" s="23"/>
      <c r="L49" s="23"/>
      <c r="M49" s="23"/>
      <c r="N49" s="23"/>
      <c r="O49" s="24"/>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3">
    <dataValidation allowBlank="1" showInputMessage="1" showErrorMessage="1" prompt="Please enter text." sqref="N9:N47" xr:uid="{00000000-0002-0000-0600-000000000000}"/>
    <dataValidation allowBlank="1" showInputMessage="1" showErrorMessage="1" prompt="Please enter text" sqref="E9:E47" xr:uid="{FD23E1B3-C574-4E2C-AF96-64702E658627}"/>
    <dataValidation type="list" allowBlank="1" showInputMessage="1" showErrorMessage="1" prompt="Please select from available drop-down options" sqref="M9:M47" xr:uid="{00000000-0002-0000-0600-000002000000}">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42" orientation="landscape" cellComments="asDisplayed" r:id="rId2"/>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N47"/>
  <sheetViews>
    <sheetView showGridLines="0" view="pageBreakPreview" topLeftCell="A10" zoomScale="90" zoomScaleNormal="100" zoomScaleSheetLayoutView="90" workbookViewId="0">
      <selection activeCell="Q46" sqref="Q46"/>
    </sheetView>
  </sheetViews>
  <sheetFormatPr defaultRowHeight="12.75" x14ac:dyDescent="0.2"/>
  <cols>
    <col min="1" max="1" width="4.85546875" style="17" customWidth="1"/>
    <col min="2" max="2" width="2.5703125" style="51" customWidth="1"/>
    <col min="3" max="3" width="6.140625" style="17" customWidth="1"/>
    <col min="4" max="5" width="2.28515625" style="17" customWidth="1"/>
    <col min="6" max="6" width="62.42578125" style="15" customWidth="1"/>
    <col min="7" max="7" width="29.7109375" style="15" customWidth="1"/>
    <col min="8" max="13" width="16.140625" style="17" customWidth="1"/>
    <col min="14" max="14" width="1.5703125" style="17" customWidth="1"/>
    <col min="15" max="16384" width="9.140625" style="17"/>
  </cols>
  <sheetData>
    <row r="1" spans="1:14" s="9" customFormat="1" ht="15" customHeight="1" x14ac:dyDescent="0.2">
      <c r="A1" s="30"/>
      <c r="B1" s="31"/>
      <c r="C1" s="31"/>
      <c r="D1" s="31"/>
      <c r="E1" s="31"/>
      <c r="F1" s="31"/>
      <c r="G1" s="31"/>
      <c r="H1" s="31"/>
      <c r="I1" s="31"/>
      <c r="J1" s="31"/>
      <c r="K1" s="31"/>
      <c r="L1" s="31"/>
      <c r="M1" s="31"/>
      <c r="N1" s="32"/>
    </row>
    <row r="2" spans="1:14" s="9" customFormat="1" ht="18" customHeight="1" x14ac:dyDescent="0.3">
      <c r="A2" s="33"/>
      <c r="B2" s="52"/>
      <c r="C2" s="48"/>
      <c r="D2" s="48"/>
      <c r="E2" s="48"/>
      <c r="F2" s="48"/>
      <c r="G2" s="48"/>
      <c r="H2" s="48"/>
      <c r="I2" s="40"/>
      <c r="J2" s="42" t="s">
        <v>7</v>
      </c>
      <c r="K2" s="280" t="str">
        <f>IF(NOT(ISBLANK(CoverSheet!$C$8)),CoverSheet!$C$8,"")</f>
        <v>Aurora Energy Limited</v>
      </c>
      <c r="L2" s="280"/>
      <c r="M2" s="280"/>
      <c r="N2" s="25"/>
    </row>
    <row r="3" spans="1:14" s="9" customFormat="1" ht="18" customHeight="1" x14ac:dyDescent="0.25">
      <c r="A3" s="33"/>
      <c r="B3" s="52"/>
      <c r="C3" s="48"/>
      <c r="D3" s="48"/>
      <c r="E3" s="48"/>
      <c r="F3" s="48"/>
      <c r="G3" s="48"/>
      <c r="H3" s="48"/>
      <c r="I3" s="40"/>
      <c r="J3" s="42" t="s">
        <v>81</v>
      </c>
      <c r="K3" s="281" t="str">
        <f>IF(ISNUMBER(CoverSheet!$C$12),TEXT(CoverSheet!$C$12,"_([$-1409]d mmmm yyyy;_(@")&amp;" –"&amp;TEXT(DATE(YEAR(CoverSheet!$C$12)+10,MONTH(CoverSheet!$C$12),DAY(CoverSheet!$C$12)-1),"_([$-1409]d mmmm yyyy;_(@"),"")</f>
        <v xml:space="preserve"> 1 April 2021 – 31 March 2031</v>
      </c>
      <c r="L3" s="281"/>
      <c r="M3" s="281"/>
      <c r="N3" s="25"/>
    </row>
    <row r="4" spans="1:14" s="9" customFormat="1" ht="21" x14ac:dyDescent="0.35">
      <c r="A4" s="85" t="s">
        <v>219</v>
      </c>
      <c r="B4" s="53"/>
      <c r="C4" s="48"/>
      <c r="D4" s="48"/>
      <c r="E4" s="48"/>
      <c r="F4" s="48"/>
      <c r="G4" s="48"/>
      <c r="H4" s="48"/>
      <c r="I4" s="48"/>
      <c r="J4" s="49"/>
      <c r="K4" s="48"/>
      <c r="L4" s="48"/>
      <c r="M4" s="48"/>
      <c r="N4" s="25"/>
    </row>
    <row r="5" spans="1:14" s="113" customFormat="1" ht="39" customHeight="1" x14ac:dyDescent="0.2">
      <c r="A5" s="277" t="s">
        <v>202</v>
      </c>
      <c r="B5" s="278"/>
      <c r="C5" s="278"/>
      <c r="D5" s="278"/>
      <c r="E5" s="278"/>
      <c r="F5" s="278"/>
      <c r="G5" s="278"/>
      <c r="H5" s="278"/>
      <c r="I5" s="278"/>
      <c r="J5" s="278"/>
      <c r="K5" s="278"/>
      <c r="L5" s="278"/>
      <c r="M5" s="278"/>
      <c r="N5" s="107"/>
    </row>
    <row r="6" spans="1:14" ht="15" customHeight="1" x14ac:dyDescent="0.2">
      <c r="A6" s="38" t="s">
        <v>240</v>
      </c>
      <c r="B6" s="56"/>
      <c r="C6" s="49"/>
      <c r="D6" s="48"/>
      <c r="E6" s="48"/>
      <c r="F6" s="48"/>
      <c r="G6" s="48"/>
      <c r="H6" s="48"/>
      <c r="I6" s="48"/>
      <c r="J6" s="48"/>
      <c r="K6" s="48"/>
      <c r="L6" s="48"/>
      <c r="M6" s="48"/>
      <c r="N6" s="25"/>
    </row>
    <row r="7" spans="1:14" ht="29.25" customHeight="1" x14ac:dyDescent="0.3">
      <c r="A7" s="41">
        <v>7</v>
      </c>
      <c r="B7" s="44"/>
      <c r="C7" s="90" t="s">
        <v>179</v>
      </c>
      <c r="D7" s="98"/>
      <c r="E7" s="102"/>
      <c r="F7" s="102"/>
      <c r="G7" s="102"/>
      <c r="H7" s="286"/>
      <c r="I7" s="286"/>
      <c r="J7" s="286"/>
      <c r="K7" s="286"/>
      <c r="L7" s="286"/>
      <c r="M7" s="286"/>
      <c r="N7" s="21"/>
    </row>
    <row r="8" spans="1:14" s="61" customFormat="1" ht="16.5" customHeight="1" x14ac:dyDescent="0.2">
      <c r="A8" s="58">
        <v>8</v>
      </c>
      <c r="B8" s="44"/>
      <c r="C8" s="120"/>
      <c r="D8" s="98"/>
      <c r="E8" s="110" t="s">
        <v>178</v>
      </c>
      <c r="F8" s="102"/>
      <c r="G8" s="102"/>
      <c r="H8" s="286" t="s">
        <v>133</v>
      </c>
      <c r="I8" s="286"/>
      <c r="J8" s="286"/>
      <c r="K8" s="286"/>
      <c r="L8" s="286"/>
      <c r="M8" s="286"/>
      <c r="N8" s="21"/>
    </row>
    <row r="9" spans="1:14" ht="12.75" customHeight="1" x14ac:dyDescent="0.2">
      <c r="A9" s="58">
        <v>9</v>
      </c>
      <c r="B9" s="44"/>
      <c r="C9" s="102"/>
      <c r="D9" s="102"/>
      <c r="E9" s="102"/>
      <c r="F9" s="102"/>
      <c r="G9" s="102"/>
      <c r="H9" s="122" t="s">
        <v>82</v>
      </c>
      <c r="I9" s="122" t="s">
        <v>161</v>
      </c>
      <c r="J9" s="122" t="s">
        <v>162</v>
      </c>
      <c r="K9" s="122" t="s">
        <v>163</v>
      </c>
      <c r="L9" s="122" t="s">
        <v>164</v>
      </c>
      <c r="M9" s="122" t="s">
        <v>165</v>
      </c>
      <c r="N9" s="20"/>
    </row>
    <row r="10" spans="1:14" ht="12.75" customHeight="1" x14ac:dyDescent="0.2">
      <c r="A10" s="41">
        <v>10</v>
      </c>
      <c r="B10" s="44"/>
      <c r="C10" s="99"/>
      <c r="D10" s="99"/>
      <c r="E10" s="99"/>
      <c r="F10" s="110"/>
      <c r="G10" s="189" t="str">
        <f>IF(ISNUMBER(CoverSheet!$C$12),"for year ended","")</f>
        <v>for year ended</v>
      </c>
      <c r="H10" s="123">
        <f>IF(ISNUMBER(CoverSheet!$C$12),DATE(YEAR(CoverSheet!$C$12),MONTH(CoverSheet!$C$12),DAY(CoverSheet!$C$12))-1,"")</f>
        <v>44286</v>
      </c>
      <c r="I10" s="123">
        <f>IF(ISNUMBER(CoverSheet!$C$12),DATE(YEAR(CoverSheet!$C$12)+1,MONTH(CoverSheet!$C$12),DAY(CoverSheet!$C$12))-1,"")</f>
        <v>44651</v>
      </c>
      <c r="J10" s="123">
        <f>IF(ISNUMBER(CoverSheet!$C$12),DATE(YEAR(CoverSheet!$C$12)+2,MONTH(CoverSheet!$C$12),DAY(CoverSheet!$C$12))-1,"")</f>
        <v>45016</v>
      </c>
      <c r="K10" s="123">
        <f>IF(ISNUMBER(CoverSheet!$C$12),DATE(YEAR(CoverSheet!$C$12)+3,MONTH(CoverSheet!$C$12),DAY(CoverSheet!$C$12))-1,"")</f>
        <v>45382</v>
      </c>
      <c r="L10" s="123">
        <f>IF(ISNUMBER(CoverSheet!$C$12),DATE(YEAR(CoverSheet!$C$12)+4,MONTH(CoverSheet!$C$12),DAY(CoverSheet!$C$12))-1,"")</f>
        <v>45747</v>
      </c>
      <c r="M10" s="123">
        <f>IF(ISNUMBER(CoverSheet!$C$12),DATE(YEAR(CoverSheet!$C$12)+5,MONTH(CoverSheet!$C$12),DAY(CoverSheet!$C$12))-1,"")</f>
        <v>46112</v>
      </c>
      <c r="N10" s="21"/>
    </row>
    <row r="11" spans="1:14" s="72" customFormat="1" ht="17.25" customHeight="1" x14ac:dyDescent="0.2">
      <c r="A11" s="58">
        <v>11</v>
      </c>
      <c r="B11" s="44"/>
      <c r="C11" s="99"/>
      <c r="D11" s="99"/>
      <c r="E11" s="99"/>
      <c r="F11" s="110" t="s">
        <v>214</v>
      </c>
      <c r="G11" s="192"/>
      <c r="H11" s="59"/>
      <c r="I11" s="123"/>
      <c r="J11" s="123"/>
      <c r="K11" s="123"/>
      <c r="L11" s="123"/>
      <c r="M11" s="123"/>
      <c r="N11" s="21"/>
    </row>
    <row r="12" spans="1:14" ht="15" customHeight="1" x14ac:dyDescent="0.2">
      <c r="A12" s="41">
        <v>12</v>
      </c>
      <c r="B12" s="44"/>
      <c r="C12" s="274"/>
      <c r="D12" s="274"/>
      <c r="E12" s="99"/>
      <c r="F12" s="183" t="s">
        <v>369</v>
      </c>
      <c r="G12" s="62"/>
      <c r="H12" s="168">
        <v>822</v>
      </c>
      <c r="I12" s="168">
        <v>1257</v>
      </c>
      <c r="J12" s="168">
        <v>1257</v>
      </c>
      <c r="K12" s="168">
        <v>1257</v>
      </c>
      <c r="L12" s="168">
        <v>1257</v>
      </c>
      <c r="M12" s="168">
        <v>1257</v>
      </c>
      <c r="N12" s="21"/>
    </row>
    <row r="13" spans="1:14" ht="15" customHeight="1" x14ac:dyDescent="0.2">
      <c r="A13" s="41">
        <v>13</v>
      </c>
      <c r="B13" s="44"/>
      <c r="C13" s="274"/>
      <c r="D13" s="274"/>
      <c r="E13" s="99"/>
      <c r="F13" s="183" t="s">
        <v>370</v>
      </c>
      <c r="G13" s="102"/>
      <c r="H13" s="168">
        <v>14</v>
      </c>
      <c r="I13" s="168">
        <v>5</v>
      </c>
      <c r="J13" s="168">
        <v>5</v>
      </c>
      <c r="K13" s="168">
        <v>5</v>
      </c>
      <c r="L13" s="168">
        <v>5</v>
      </c>
      <c r="M13" s="168">
        <v>5</v>
      </c>
      <c r="N13" s="21"/>
    </row>
    <row r="14" spans="1:14" ht="15" customHeight="1" x14ac:dyDescent="0.2">
      <c r="A14" s="41">
        <v>14</v>
      </c>
      <c r="B14" s="44"/>
      <c r="C14" s="274"/>
      <c r="D14" s="274"/>
      <c r="E14" s="99"/>
      <c r="F14" s="183" t="s">
        <v>371</v>
      </c>
      <c r="G14" s="102"/>
      <c r="H14" s="168">
        <v>4</v>
      </c>
      <c r="I14" s="168">
        <v>12</v>
      </c>
      <c r="J14" s="168">
        <v>12</v>
      </c>
      <c r="K14" s="168">
        <v>12</v>
      </c>
      <c r="L14" s="168">
        <v>12</v>
      </c>
      <c r="M14" s="168">
        <v>12</v>
      </c>
      <c r="N14" s="21"/>
    </row>
    <row r="15" spans="1:14" ht="15" customHeight="1" x14ac:dyDescent="0.2">
      <c r="A15" s="41">
        <v>15</v>
      </c>
      <c r="B15" s="44"/>
      <c r="C15" s="274"/>
      <c r="D15" s="274"/>
      <c r="E15" s="99"/>
      <c r="F15" s="183" t="s">
        <v>372</v>
      </c>
      <c r="G15" s="102"/>
      <c r="H15" s="168">
        <v>19</v>
      </c>
      <c r="I15" s="168">
        <v>15</v>
      </c>
      <c r="J15" s="168">
        <v>15</v>
      </c>
      <c r="K15" s="168">
        <v>15</v>
      </c>
      <c r="L15" s="168">
        <v>15</v>
      </c>
      <c r="M15" s="168">
        <v>15</v>
      </c>
      <c r="N15" s="21"/>
    </row>
    <row r="16" spans="1:14" s="264" customFormat="1" ht="15" customHeight="1" x14ac:dyDescent="0.2">
      <c r="A16" s="58"/>
      <c r="B16" s="44"/>
      <c r="C16" s="263"/>
      <c r="D16" s="263"/>
      <c r="E16" s="263"/>
      <c r="F16" s="183" t="s">
        <v>373</v>
      </c>
      <c r="G16" s="102"/>
      <c r="H16" s="194">
        <v>-60</v>
      </c>
      <c r="I16" s="194">
        <v>92</v>
      </c>
      <c r="J16" s="194">
        <v>92</v>
      </c>
      <c r="K16" s="194">
        <v>92</v>
      </c>
      <c r="L16" s="194">
        <v>92</v>
      </c>
      <c r="M16" s="194">
        <v>92</v>
      </c>
      <c r="N16" s="21"/>
    </row>
    <row r="17" spans="1:14" s="264" customFormat="1" ht="15" customHeight="1" x14ac:dyDescent="0.2">
      <c r="A17" s="58"/>
      <c r="B17" s="44"/>
      <c r="C17" s="263"/>
      <c r="D17" s="263"/>
      <c r="E17" s="263"/>
      <c r="F17" s="183" t="s">
        <v>374</v>
      </c>
      <c r="G17" s="102"/>
      <c r="H17" s="194">
        <v>146</v>
      </c>
      <c r="I17" s="194">
        <v>110</v>
      </c>
      <c r="J17" s="194">
        <v>110</v>
      </c>
      <c r="K17" s="194">
        <v>110</v>
      </c>
      <c r="L17" s="194">
        <v>110</v>
      </c>
      <c r="M17" s="194">
        <v>110</v>
      </c>
      <c r="N17" s="21"/>
    </row>
    <row r="18" spans="1:14" s="264" customFormat="1" ht="15" customHeight="1" x14ac:dyDescent="0.2">
      <c r="A18" s="58"/>
      <c r="B18" s="44"/>
      <c r="C18" s="263"/>
      <c r="D18" s="263"/>
      <c r="E18" s="263"/>
      <c r="F18" s="183" t="s">
        <v>375</v>
      </c>
      <c r="G18" s="102"/>
      <c r="H18" s="194">
        <v>1</v>
      </c>
      <c r="I18" s="194">
        <v>4</v>
      </c>
      <c r="J18" s="194">
        <v>4</v>
      </c>
      <c r="K18" s="194">
        <v>4</v>
      </c>
      <c r="L18" s="194">
        <v>4</v>
      </c>
      <c r="M18" s="194">
        <v>4</v>
      </c>
      <c r="N18" s="21"/>
    </row>
    <row r="19" spans="1:14" s="264" customFormat="1" ht="15" customHeight="1" x14ac:dyDescent="0.2">
      <c r="A19" s="58"/>
      <c r="B19" s="44"/>
      <c r="C19" s="263"/>
      <c r="D19" s="263"/>
      <c r="E19" s="263"/>
      <c r="F19" s="183" t="s">
        <v>376</v>
      </c>
      <c r="G19" s="102"/>
      <c r="H19" s="194">
        <v>1</v>
      </c>
      <c r="I19" s="194">
        <v>3</v>
      </c>
      <c r="J19" s="194">
        <v>3</v>
      </c>
      <c r="K19" s="194">
        <v>3</v>
      </c>
      <c r="L19" s="194">
        <v>3</v>
      </c>
      <c r="M19" s="194">
        <v>3</v>
      </c>
      <c r="N19" s="21"/>
    </row>
    <row r="20" spans="1:14" s="264" customFormat="1" ht="15" customHeight="1" x14ac:dyDescent="0.2">
      <c r="A20" s="58"/>
      <c r="B20" s="44"/>
      <c r="C20" s="263"/>
      <c r="D20" s="263"/>
      <c r="E20" s="263"/>
      <c r="F20" s="183" t="s">
        <v>377</v>
      </c>
      <c r="G20" s="102"/>
      <c r="H20" s="194">
        <v>2</v>
      </c>
      <c r="I20" s="194">
        <v>2</v>
      </c>
      <c r="J20" s="194">
        <v>2</v>
      </c>
      <c r="K20" s="194">
        <v>2</v>
      </c>
      <c r="L20" s="194">
        <v>2</v>
      </c>
      <c r="M20" s="194">
        <v>2</v>
      </c>
      <c r="N20" s="21"/>
    </row>
    <row r="21" spans="1:14" s="264" customFormat="1" ht="15" customHeight="1" x14ac:dyDescent="0.2">
      <c r="A21" s="58"/>
      <c r="B21" s="44"/>
      <c r="C21" s="263"/>
      <c r="D21" s="263"/>
      <c r="E21" s="263"/>
      <c r="F21" s="183" t="s">
        <v>378</v>
      </c>
      <c r="G21" s="102"/>
      <c r="H21" s="194">
        <v>0</v>
      </c>
      <c r="I21" s="194">
        <v>0</v>
      </c>
      <c r="J21" s="194">
        <v>0</v>
      </c>
      <c r="K21" s="194">
        <v>0</v>
      </c>
      <c r="L21" s="194">
        <v>0</v>
      </c>
      <c r="M21" s="194">
        <v>0</v>
      </c>
      <c r="N21" s="21"/>
    </row>
    <row r="22" spans="1:14" ht="15" customHeight="1" thickBot="1" x14ac:dyDescent="0.25">
      <c r="A22" s="41">
        <v>16</v>
      </c>
      <c r="B22" s="44"/>
      <c r="C22" s="274"/>
      <c r="D22" s="274"/>
      <c r="E22" s="99"/>
      <c r="F22" s="183" t="s">
        <v>379</v>
      </c>
      <c r="G22" s="102"/>
      <c r="H22" s="168">
        <v>3</v>
      </c>
      <c r="I22" s="168">
        <v>0</v>
      </c>
      <c r="J22" s="168">
        <v>0</v>
      </c>
      <c r="K22" s="168">
        <v>0</v>
      </c>
      <c r="L22" s="168">
        <v>0</v>
      </c>
      <c r="M22" s="168">
        <v>0</v>
      </c>
      <c r="N22" s="21"/>
    </row>
    <row r="23" spans="1:14" ht="15" customHeight="1" thickBot="1" x14ac:dyDescent="0.25">
      <c r="A23" s="41">
        <v>17</v>
      </c>
      <c r="B23" s="44"/>
      <c r="C23" s="99"/>
      <c r="D23" s="99"/>
      <c r="E23" s="97" t="s">
        <v>64</v>
      </c>
      <c r="F23" s="167"/>
      <c r="G23" s="102"/>
      <c r="H23" s="175">
        <f t="shared" ref="H23:M23" si="0">SUM(H12:H22)</f>
        <v>952</v>
      </c>
      <c r="I23" s="175">
        <f t="shared" si="0"/>
        <v>1500</v>
      </c>
      <c r="J23" s="175">
        <f t="shared" si="0"/>
        <v>1500</v>
      </c>
      <c r="K23" s="175">
        <f t="shared" si="0"/>
        <v>1500</v>
      </c>
      <c r="L23" s="175">
        <f t="shared" si="0"/>
        <v>1500</v>
      </c>
      <c r="M23" s="175">
        <f t="shared" si="0"/>
        <v>1500</v>
      </c>
      <c r="N23" s="21"/>
    </row>
    <row r="24" spans="1:14" x14ac:dyDescent="0.2">
      <c r="A24" s="41">
        <v>18</v>
      </c>
      <c r="B24" s="44"/>
      <c r="C24" s="99"/>
      <c r="D24" s="99"/>
      <c r="E24" s="99"/>
      <c r="F24" s="87" t="s">
        <v>92</v>
      </c>
      <c r="G24" s="102"/>
      <c r="H24" s="98"/>
      <c r="I24" s="98"/>
      <c r="J24" s="102"/>
      <c r="K24" s="98"/>
      <c r="L24" s="98"/>
      <c r="M24" s="98"/>
      <c r="N24" s="21"/>
    </row>
    <row r="25" spans="1:14" ht="15.75" x14ac:dyDescent="0.25">
      <c r="A25" s="41">
        <v>19</v>
      </c>
      <c r="B25" s="44"/>
      <c r="C25" s="99"/>
      <c r="D25" s="95" t="s">
        <v>197</v>
      </c>
      <c r="E25" s="99"/>
      <c r="F25" s="99"/>
      <c r="G25" s="102"/>
      <c r="H25" s="98"/>
      <c r="I25" s="98"/>
      <c r="J25" s="102"/>
      <c r="K25" s="98"/>
      <c r="L25" s="98"/>
      <c r="M25" s="98"/>
      <c r="N25" s="21"/>
    </row>
    <row r="26" spans="1:14" ht="15" customHeight="1" x14ac:dyDescent="0.2">
      <c r="A26" s="41">
        <v>20</v>
      </c>
      <c r="B26" s="44"/>
      <c r="C26" s="99"/>
      <c r="D26" s="99"/>
      <c r="E26" s="99"/>
      <c r="F26" s="99" t="s">
        <v>133</v>
      </c>
      <c r="G26" s="102"/>
      <c r="H26" s="168">
        <v>1404</v>
      </c>
      <c r="I26" s="168">
        <v>1597</v>
      </c>
      <c r="J26" s="168">
        <v>1774</v>
      </c>
      <c r="K26" s="168">
        <v>1951</v>
      </c>
      <c r="L26" s="168">
        <v>2128</v>
      </c>
      <c r="M26" s="168">
        <v>2305</v>
      </c>
      <c r="N26" s="21"/>
    </row>
    <row r="27" spans="1:14" ht="15" customHeight="1" x14ac:dyDescent="0.2">
      <c r="A27" s="41">
        <v>21</v>
      </c>
      <c r="B27" s="44"/>
      <c r="C27" s="99"/>
      <c r="D27" s="99"/>
      <c r="E27" s="99"/>
      <c r="F27" s="196" t="s">
        <v>282</v>
      </c>
      <c r="G27" s="102"/>
      <c r="H27" s="168">
        <v>1.0147999999999999</v>
      </c>
      <c r="I27" s="168">
        <v>0.85479699999999992</v>
      </c>
      <c r="J27" s="168">
        <v>0.76178498999999988</v>
      </c>
      <c r="K27" s="168">
        <v>0.76112054969999998</v>
      </c>
      <c r="L27" s="168">
        <v>0.76110061649099991</v>
      </c>
      <c r="M27" s="168">
        <v>0.76110001849472997</v>
      </c>
      <c r="N27" s="21"/>
    </row>
    <row r="28" spans="1:14" ht="29.25" customHeight="1" x14ac:dyDescent="0.3">
      <c r="A28" s="41">
        <v>22</v>
      </c>
      <c r="B28" s="44"/>
      <c r="C28" s="90" t="s">
        <v>203</v>
      </c>
      <c r="D28" s="98"/>
      <c r="E28" s="102"/>
      <c r="F28" s="102"/>
      <c r="G28" s="102"/>
      <c r="H28" s="286"/>
      <c r="I28" s="286"/>
      <c r="J28" s="286"/>
      <c r="K28" s="286"/>
      <c r="L28" s="286"/>
      <c r="M28" s="286"/>
      <c r="N28" s="21"/>
    </row>
    <row r="29" spans="1:14" ht="12.75" customHeight="1" x14ac:dyDescent="0.2">
      <c r="A29" s="41">
        <v>23</v>
      </c>
      <c r="B29" s="44"/>
      <c r="C29" s="99"/>
      <c r="D29" s="99"/>
      <c r="E29" s="99"/>
      <c r="F29" s="110"/>
      <c r="G29" s="102"/>
      <c r="H29" s="122" t="s">
        <v>82</v>
      </c>
      <c r="I29" s="122" t="s">
        <v>161</v>
      </c>
      <c r="J29" s="122" t="s">
        <v>162</v>
      </c>
      <c r="K29" s="122" t="s">
        <v>163</v>
      </c>
      <c r="L29" s="122" t="s">
        <v>164</v>
      </c>
      <c r="M29" s="122" t="s">
        <v>165</v>
      </c>
      <c r="N29" s="21"/>
    </row>
    <row r="30" spans="1:14" ht="15.75" x14ac:dyDescent="0.25">
      <c r="A30" s="41">
        <v>24</v>
      </c>
      <c r="B30" s="44"/>
      <c r="C30" s="99"/>
      <c r="D30" s="95" t="s">
        <v>134</v>
      </c>
      <c r="E30" s="99"/>
      <c r="F30" s="99"/>
      <c r="G30" s="189" t="str">
        <f>IF(ISNUMBER(CoverSheet!$C$12),"for year ended","")</f>
        <v>for year ended</v>
      </c>
      <c r="H30" s="123">
        <f>IF(ISNUMBER(CoverSheet!$C$12),DATE(YEAR(CoverSheet!$C$12),MONTH(CoverSheet!$C$12),DAY(CoverSheet!$C$12))-1,"")</f>
        <v>44286</v>
      </c>
      <c r="I30" s="123">
        <f>IF(ISNUMBER(CoverSheet!$C$12),DATE(YEAR(CoverSheet!$C$12)+1,MONTH(CoverSheet!$C$12),DAY(CoverSheet!$C$12))-1,"")</f>
        <v>44651</v>
      </c>
      <c r="J30" s="123">
        <f>IF(ISNUMBER(CoverSheet!$C$12),DATE(YEAR(CoverSheet!$C$12)+2,MONTH(CoverSheet!$C$12),DAY(CoverSheet!$C$12))-1,"")</f>
        <v>45016</v>
      </c>
      <c r="K30" s="123">
        <f>IF(ISNUMBER(CoverSheet!$C$12),DATE(YEAR(CoverSheet!$C$12)+3,MONTH(CoverSheet!$C$12),DAY(CoverSheet!$C$12))-1,"")</f>
        <v>45382</v>
      </c>
      <c r="L30" s="123">
        <f>IF(ISNUMBER(CoverSheet!$C$12),DATE(YEAR(CoverSheet!$C$12)+4,MONTH(CoverSheet!$C$12),DAY(CoverSheet!$C$12))-1,"")</f>
        <v>45747</v>
      </c>
      <c r="M30" s="123">
        <f>IF(ISNUMBER(CoverSheet!$C$12),DATE(YEAR(CoverSheet!$C$12)+5,MONTH(CoverSheet!$C$12),DAY(CoverSheet!$C$12))-1,"")</f>
        <v>46112</v>
      </c>
      <c r="N30" s="20"/>
    </row>
    <row r="31" spans="1:14" ht="15" customHeight="1" x14ac:dyDescent="0.2">
      <c r="A31" s="41">
        <v>25</v>
      </c>
      <c r="B31" s="44"/>
      <c r="C31" s="99"/>
      <c r="D31" s="99"/>
      <c r="E31" s="99"/>
      <c r="F31" s="99" t="s">
        <v>69</v>
      </c>
      <c r="G31" s="62"/>
      <c r="H31" s="168">
        <v>240.68799999999999</v>
      </c>
      <c r="I31" s="168">
        <v>242.83996193000002</v>
      </c>
      <c r="J31" s="168">
        <v>245.16311517929998</v>
      </c>
      <c r="K31" s="168">
        <v>247.51784776509299</v>
      </c>
      <c r="L31" s="168">
        <v>249.90474867682394</v>
      </c>
      <c r="M31" s="168">
        <v>252.32446750575383</v>
      </c>
      <c r="N31" s="20"/>
    </row>
    <row r="32" spans="1:14" ht="15" customHeight="1" thickBot="1" x14ac:dyDescent="0.25">
      <c r="A32" s="41">
        <v>26</v>
      </c>
      <c r="B32" s="44"/>
      <c r="C32" s="99"/>
      <c r="D32" s="101" t="s">
        <v>5</v>
      </c>
      <c r="E32" s="99"/>
      <c r="F32" s="99" t="s">
        <v>198</v>
      </c>
      <c r="G32" s="102"/>
      <c r="H32" s="168">
        <v>58.192342999999994</v>
      </c>
      <c r="I32" s="168">
        <v>58.892342999999997</v>
      </c>
      <c r="J32" s="168">
        <v>59.592343</v>
      </c>
      <c r="K32" s="168">
        <v>60.292343000000002</v>
      </c>
      <c r="L32" s="168">
        <v>60.992343000000005</v>
      </c>
      <c r="M32" s="168">
        <v>61.692343000000008</v>
      </c>
      <c r="N32" s="20"/>
    </row>
    <row r="33" spans="1:14" ht="15" customHeight="1" thickBot="1" x14ac:dyDescent="0.25">
      <c r="A33" s="41">
        <v>27</v>
      </c>
      <c r="B33" s="44"/>
      <c r="C33" s="99"/>
      <c r="D33" s="101"/>
      <c r="E33" s="60" t="s">
        <v>172</v>
      </c>
      <c r="F33" s="99"/>
      <c r="G33" s="102"/>
      <c r="H33" s="175">
        <f t="shared" ref="H33:M33" si="1">H31+H32</f>
        <v>298.88034299999998</v>
      </c>
      <c r="I33" s="175">
        <f t="shared" si="1"/>
        <v>301.73230493</v>
      </c>
      <c r="J33" s="175">
        <f t="shared" si="1"/>
        <v>304.75545817929998</v>
      </c>
      <c r="K33" s="175">
        <f t="shared" si="1"/>
        <v>307.81019076509301</v>
      </c>
      <c r="L33" s="175">
        <f t="shared" si="1"/>
        <v>310.89709167682395</v>
      </c>
      <c r="M33" s="175">
        <f t="shared" si="1"/>
        <v>314.01681050575382</v>
      </c>
      <c r="N33" s="20"/>
    </row>
    <row r="34" spans="1:14" ht="15" customHeight="1" thickBot="1" x14ac:dyDescent="0.25">
      <c r="A34" s="41">
        <v>28</v>
      </c>
      <c r="B34" s="44"/>
      <c r="C34" s="99"/>
      <c r="D34" s="101" t="s">
        <v>4</v>
      </c>
      <c r="E34" s="99"/>
      <c r="F34" s="99" t="s">
        <v>70</v>
      </c>
      <c r="G34" s="102"/>
      <c r="H34" s="168">
        <v>7.1149999999999977E-2</v>
      </c>
      <c r="I34" s="168">
        <v>-6.498000000000001E-2</v>
      </c>
      <c r="J34" s="168">
        <v>-5.9799600000000015E-2</v>
      </c>
      <c r="K34" s="168">
        <v>-5.3219591999999996E-2</v>
      </c>
      <c r="L34" s="168">
        <v>-4.4952783840000017E-2</v>
      </c>
      <c r="M34" s="168">
        <v>-3.4654399516800008E-2</v>
      </c>
      <c r="N34" s="20"/>
    </row>
    <row r="35" spans="1:14" ht="15" customHeight="1" thickBot="1" x14ac:dyDescent="0.25">
      <c r="A35" s="41">
        <v>29</v>
      </c>
      <c r="B35" s="44"/>
      <c r="C35" s="99"/>
      <c r="D35" s="99"/>
      <c r="E35" s="60" t="s">
        <v>194</v>
      </c>
      <c r="F35" s="99"/>
      <c r="G35" s="102"/>
      <c r="H35" s="175">
        <f t="shared" ref="H35:M35" si="2">H33-H34</f>
        <v>298.80919299999999</v>
      </c>
      <c r="I35" s="175">
        <f t="shared" si="2"/>
        <v>301.79728492999999</v>
      </c>
      <c r="J35" s="175">
        <f t="shared" si="2"/>
        <v>304.8152577793</v>
      </c>
      <c r="K35" s="175">
        <f t="shared" si="2"/>
        <v>307.86341035709302</v>
      </c>
      <c r="L35" s="175">
        <f t="shared" si="2"/>
        <v>310.94204446066396</v>
      </c>
      <c r="M35" s="175">
        <f t="shared" si="2"/>
        <v>314.05146490527062</v>
      </c>
      <c r="N35" s="20"/>
    </row>
    <row r="36" spans="1:14" ht="30" customHeight="1" x14ac:dyDescent="0.25">
      <c r="A36" s="41">
        <v>30</v>
      </c>
      <c r="B36" s="44"/>
      <c r="C36" s="99"/>
      <c r="D36" s="95" t="s">
        <v>141</v>
      </c>
      <c r="E36" s="99"/>
      <c r="F36" s="99"/>
      <c r="G36" s="102"/>
      <c r="H36" s="102"/>
      <c r="I36" s="102"/>
      <c r="J36" s="102"/>
      <c r="K36" s="102"/>
      <c r="L36" s="102"/>
      <c r="M36" s="102"/>
      <c r="N36" s="20"/>
    </row>
    <row r="37" spans="1:14" ht="15" customHeight="1" x14ac:dyDescent="0.2">
      <c r="A37" s="41">
        <v>31</v>
      </c>
      <c r="B37" s="44"/>
      <c r="C37" s="99"/>
      <c r="D37" s="99"/>
      <c r="E37" s="99"/>
      <c r="F37" s="99" t="s">
        <v>71</v>
      </c>
      <c r="G37" s="102"/>
      <c r="H37" s="168">
        <v>1083.9937990000001</v>
      </c>
      <c r="I37" s="168">
        <v>1094.1015397046308</v>
      </c>
      <c r="J37" s="168">
        <v>1102.8811908328457</v>
      </c>
      <c r="K37" s="168">
        <v>1111.7372182344247</v>
      </c>
      <c r="L37" s="168">
        <v>1120.671461159408</v>
      </c>
      <c r="M37" s="168">
        <v>1129.6860165711864</v>
      </c>
      <c r="N37" s="20"/>
    </row>
    <row r="38" spans="1:14" ht="15" customHeight="1" x14ac:dyDescent="0.2">
      <c r="A38" s="41">
        <v>32</v>
      </c>
      <c r="B38" s="44"/>
      <c r="C38" s="99"/>
      <c r="D38" s="101" t="s">
        <v>4</v>
      </c>
      <c r="E38" s="99"/>
      <c r="F38" s="99" t="s">
        <v>72</v>
      </c>
      <c r="G38" s="102"/>
      <c r="H38" s="168">
        <v>57.464516000000003</v>
      </c>
      <c r="I38" s="168">
        <v>57.464516000000003</v>
      </c>
      <c r="J38" s="168">
        <v>57.924232128000007</v>
      </c>
      <c r="K38" s="168">
        <v>58.387625985024009</v>
      </c>
      <c r="L38" s="168">
        <v>58.854726992904197</v>
      </c>
      <c r="M38" s="168">
        <v>59.325564808847432</v>
      </c>
      <c r="N38" s="20"/>
    </row>
    <row r="39" spans="1:14" ht="15" customHeight="1" x14ac:dyDescent="0.2">
      <c r="A39" s="41">
        <v>33</v>
      </c>
      <c r="B39" s="44"/>
      <c r="C39" s="99"/>
      <c r="D39" s="101" t="s">
        <v>5</v>
      </c>
      <c r="E39" s="99"/>
      <c r="F39" s="99" t="s">
        <v>199</v>
      </c>
      <c r="G39" s="102"/>
      <c r="H39" s="168">
        <v>366.25336060350003</v>
      </c>
      <c r="I39" s="168">
        <v>366.25336060350003</v>
      </c>
      <c r="J39" s="168">
        <v>369.18338748832804</v>
      </c>
      <c r="K39" s="168">
        <v>372.13685458823466</v>
      </c>
      <c r="L39" s="168">
        <v>375.11394942494053</v>
      </c>
      <c r="M39" s="168">
        <v>378.11486102034007</v>
      </c>
      <c r="N39" s="20"/>
    </row>
    <row r="40" spans="1:14" ht="15" customHeight="1" thickBot="1" x14ac:dyDescent="0.25">
      <c r="A40" s="41">
        <v>34</v>
      </c>
      <c r="B40" s="44"/>
      <c r="C40" s="99"/>
      <c r="D40" s="101" t="s">
        <v>4</v>
      </c>
      <c r="E40" s="99"/>
      <c r="F40" s="99" t="s">
        <v>73</v>
      </c>
      <c r="G40" s="102"/>
      <c r="H40" s="168">
        <v>1</v>
      </c>
      <c r="I40" s="168">
        <v>-0.29972320003755659</v>
      </c>
      <c r="J40" s="168">
        <v>-0.2752821750599514</v>
      </c>
      <c r="K40" s="168">
        <v>-0.24450655754404016</v>
      </c>
      <c r="L40" s="168">
        <v>-0.20611743089660714</v>
      </c>
      <c r="M40" s="168">
        <v>-0.1585826478406861</v>
      </c>
      <c r="N40" s="20"/>
    </row>
    <row r="41" spans="1:14" ht="15" customHeight="1" thickBot="1" x14ac:dyDescent="0.25">
      <c r="A41" s="58">
        <v>35</v>
      </c>
      <c r="B41" s="44"/>
      <c r="C41" s="99"/>
      <c r="D41" s="99"/>
      <c r="E41" s="60" t="s">
        <v>204</v>
      </c>
      <c r="F41" s="99"/>
      <c r="G41" s="102"/>
      <c r="H41" s="175">
        <f t="shared" ref="H41:M41" si="3">H37-H38+H39-H40</f>
        <v>1391.7826436035002</v>
      </c>
      <c r="I41" s="175">
        <f t="shared" si="3"/>
        <v>1403.1901075081682</v>
      </c>
      <c r="J41" s="175">
        <f t="shared" si="3"/>
        <v>1414.4156283682337</v>
      </c>
      <c r="K41" s="175">
        <f t="shared" si="3"/>
        <v>1425.7309533951795</v>
      </c>
      <c r="L41" s="175">
        <f t="shared" si="3"/>
        <v>1437.1368010223409</v>
      </c>
      <c r="M41" s="175">
        <f t="shared" si="3"/>
        <v>1448.6338954305195</v>
      </c>
      <c r="N41" s="20"/>
    </row>
    <row r="42" spans="1:14" s="66" customFormat="1" ht="15" customHeight="1" thickBot="1" x14ac:dyDescent="0.25">
      <c r="A42" s="58">
        <v>36</v>
      </c>
      <c r="B42" s="44"/>
      <c r="C42" s="99"/>
      <c r="D42" s="101" t="s">
        <v>4</v>
      </c>
      <c r="E42" s="99"/>
      <c r="F42" s="99" t="s">
        <v>205</v>
      </c>
      <c r="G42" s="102"/>
      <c r="H42" s="168">
        <v>1305.77225516</v>
      </c>
      <c r="I42" s="168">
        <v>1316.1923208426617</v>
      </c>
      <c r="J42" s="168">
        <v>1326.7218594094031</v>
      </c>
      <c r="K42" s="168">
        <v>1337.3356342846782</v>
      </c>
      <c r="L42" s="168">
        <v>1348.0343193589558</v>
      </c>
      <c r="M42" s="168">
        <v>1358.8185939138275</v>
      </c>
      <c r="N42" s="20"/>
    </row>
    <row r="43" spans="1:14" s="66" customFormat="1" ht="15" customHeight="1" thickBot="1" x14ac:dyDescent="0.25">
      <c r="A43" s="58">
        <v>37</v>
      </c>
      <c r="B43" s="44"/>
      <c r="C43" s="99"/>
      <c r="D43" s="99"/>
      <c r="E43" s="60" t="s">
        <v>206</v>
      </c>
      <c r="F43" s="99"/>
      <c r="G43" s="102"/>
      <c r="H43" s="175">
        <f t="shared" ref="H43:M43" si="4">H41-H42</f>
        <v>86.010388443500233</v>
      </c>
      <c r="I43" s="175">
        <f t="shared" si="4"/>
        <v>86.99778666550651</v>
      </c>
      <c r="J43" s="175">
        <f t="shared" si="4"/>
        <v>87.69376895883056</v>
      </c>
      <c r="K43" s="175">
        <f t="shared" si="4"/>
        <v>88.395319110501305</v>
      </c>
      <c r="L43" s="175">
        <f t="shared" si="4"/>
        <v>89.102481663385106</v>
      </c>
      <c r="M43" s="175">
        <f t="shared" si="4"/>
        <v>89.815301516691989</v>
      </c>
      <c r="N43" s="20"/>
    </row>
    <row r="44" spans="1:14" ht="12.75" customHeight="1" thickBot="1" x14ac:dyDescent="0.25">
      <c r="A44" s="58">
        <v>38</v>
      </c>
      <c r="B44" s="44"/>
      <c r="C44" s="99"/>
      <c r="D44" s="99"/>
      <c r="E44" s="99"/>
      <c r="F44" s="99"/>
      <c r="G44" s="102"/>
      <c r="H44" s="102"/>
      <c r="I44" s="102"/>
      <c r="J44" s="102"/>
      <c r="K44" s="102"/>
      <c r="L44" s="102"/>
      <c r="M44" s="102"/>
      <c r="N44" s="20"/>
    </row>
    <row r="45" spans="1:14" ht="15" customHeight="1" thickBot="1" x14ac:dyDescent="0.25">
      <c r="A45" s="58">
        <v>39</v>
      </c>
      <c r="B45" s="44"/>
      <c r="C45" s="99"/>
      <c r="D45" s="99"/>
      <c r="E45" s="60" t="s">
        <v>74</v>
      </c>
      <c r="F45" s="99"/>
      <c r="G45" s="102"/>
      <c r="H45" s="178">
        <f t="shared" ref="H45:M45" si="5">IF(H35&lt;&gt;0,H41/(H35*8760)*1000,0)</f>
        <v>0.53170819685929616</v>
      </c>
      <c r="I45" s="178">
        <f t="shared" si="5"/>
        <v>0.53075864867071332</v>
      </c>
      <c r="J45" s="178">
        <f t="shared" si="5"/>
        <v>0.52970764144562277</v>
      </c>
      <c r="K45" s="178">
        <f t="shared" si="5"/>
        <v>0.52865871542295806</v>
      </c>
      <c r="L45" s="178">
        <f t="shared" si="5"/>
        <v>0.52761186648152647</v>
      </c>
      <c r="M45" s="178">
        <f t="shared" si="5"/>
        <v>0.52656709050829564</v>
      </c>
      <c r="N45" s="20"/>
    </row>
    <row r="46" spans="1:14" s="66" customFormat="1" ht="15" customHeight="1" thickBot="1" x14ac:dyDescent="0.25">
      <c r="A46" s="58">
        <v>40</v>
      </c>
      <c r="B46" s="44"/>
      <c r="C46" s="99"/>
      <c r="D46" s="99"/>
      <c r="E46" s="60" t="s">
        <v>207</v>
      </c>
      <c r="F46" s="99"/>
      <c r="G46" s="102"/>
      <c r="H46" s="179">
        <f t="shared" ref="H46:M46" si="6">IF(H41=0,"-",H43/H41)</f>
        <v>6.179872183260493E-2</v>
      </c>
      <c r="I46" s="179">
        <f t="shared" si="6"/>
        <v>6.2000000000000055E-2</v>
      </c>
      <c r="J46" s="179">
        <f t="shared" si="6"/>
        <v>6.2000000000000048E-2</v>
      </c>
      <c r="K46" s="179">
        <f t="shared" si="6"/>
        <v>6.2000000000000124E-2</v>
      </c>
      <c r="L46" s="179">
        <f t="shared" si="6"/>
        <v>6.1999999999999979E-2</v>
      </c>
      <c r="M46" s="179">
        <f t="shared" si="6"/>
        <v>6.1999999999999847E-2</v>
      </c>
      <c r="N46" s="20"/>
    </row>
    <row r="47" spans="1:14" x14ac:dyDescent="0.2">
      <c r="A47" s="22"/>
      <c r="B47" s="54"/>
      <c r="C47" s="23"/>
      <c r="D47" s="23"/>
      <c r="E47" s="23"/>
      <c r="F47" s="23"/>
      <c r="G47" s="23"/>
      <c r="H47" s="23"/>
      <c r="I47" s="23"/>
      <c r="J47" s="23"/>
      <c r="K47" s="23"/>
      <c r="L47" s="23"/>
      <c r="M47" s="23"/>
      <c r="N47" s="24"/>
    </row>
  </sheetData>
  <sheetProtection sheet="1" objects="1"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8:M28"/>
    <mergeCell ref="C14:D14"/>
    <mergeCell ref="C15:D15"/>
    <mergeCell ref="K2:M2"/>
    <mergeCell ref="K3:M3"/>
    <mergeCell ref="C22:D22"/>
    <mergeCell ref="C12:D12"/>
    <mergeCell ref="C13:D13"/>
    <mergeCell ref="H8:M8"/>
    <mergeCell ref="A5:M5"/>
    <mergeCell ref="H7:M7"/>
  </mergeCells>
  <dataValidations count="1">
    <dataValidation allowBlank="1" showInputMessage="1" showErrorMessage="1" prompt="Please enter text" sqref="F12:F22" xr:uid="{00000000-0002-0000-0700-000000000000}"/>
  </dataValidations>
  <pageMargins left="0.70866141732283472" right="0.70866141732283472" top="0.74803149606299213" bottom="0.74803149606299213" header="0.31496062992125989" footer="0.31496062992125989"/>
  <pageSetup paperSize="9" scale="52" orientation="landscape" cellComments="asDisplayed" r:id="rId2"/>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52206-F9C5-4031-9177-0846B87D70E8}">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style="264" customWidth="1"/>
    <col min="2" max="2" width="3.28515625" style="264" customWidth="1"/>
    <col min="3" max="3" width="6.140625" style="264" customWidth="1"/>
    <col min="4" max="5" width="2.28515625" style="264" customWidth="1"/>
    <col min="6" max="6" width="41.5703125" style="264" customWidth="1"/>
    <col min="7" max="7" width="30.42578125" style="264" customWidth="1"/>
    <col min="8" max="13" width="16.140625" style="264" customWidth="1"/>
    <col min="14" max="14" width="1.7109375" style="264" customWidth="1"/>
    <col min="15" max="16384" width="9.140625" style="264"/>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148"/>
      <c r="C2" s="148"/>
      <c r="D2" s="148"/>
      <c r="E2" s="148"/>
      <c r="F2" s="148"/>
      <c r="G2" s="148"/>
      <c r="H2" s="148"/>
      <c r="I2" s="28"/>
      <c r="J2" s="42" t="s">
        <v>7</v>
      </c>
      <c r="K2" s="280" t="str">
        <f>IF(NOT(ISBLANK(CoverSheet!$C$8)),CoverSheet!$C$8,"")</f>
        <v>Aurora Energy Limited</v>
      </c>
      <c r="L2" s="280"/>
      <c r="M2" s="280"/>
      <c r="N2" s="25"/>
    </row>
    <row r="3" spans="1:14" ht="18" customHeight="1" x14ac:dyDescent="0.3">
      <c r="A3" s="33"/>
      <c r="B3" s="148"/>
      <c r="C3" s="148"/>
      <c r="D3" s="148"/>
      <c r="E3" s="148"/>
      <c r="F3" s="148"/>
      <c r="G3" s="148"/>
      <c r="H3" s="148"/>
      <c r="I3" s="28"/>
      <c r="J3" s="42" t="s">
        <v>81</v>
      </c>
      <c r="K3" s="281" t="str">
        <f>IF(ISNUMBER(CoverSheet!$C$12),TEXT(CoverSheet!$C$12,"_([$-1409]d mmmm yyyy;_(@")&amp;" –"&amp;TEXT(DATE(YEAR(CoverSheet!$C$12)+10,MONTH(CoverSheet!$C$12),DAY(CoverSheet!$C$12)-1),"_([$-1409]d mmmm yyyy;_(@"),"")</f>
        <v xml:space="preserve"> 1 April 2021 – 31 March 2031</v>
      </c>
      <c r="L3" s="281"/>
      <c r="M3" s="281"/>
      <c r="N3" s="25"/>
    </row>
    <row r="4" spans="1:14" ht="18" customHeight="1" x14ac:dyDescent="0.35">
      <c r="A4" s="83"/>
      <c r="B4" s="148"/>
      <c r="C4" s="148"/>
      <c r="D4" s="148"/>
      <c r="E4" s="148"/>
      <c r="F4" s="148"/>
      <c r="G4" s="148"/>
      <c r="H4" s="148"/>
      <c r="I4" s="40"/>
      <c r="J4" s="42" t="s">
        <v>66</v>
      </c>
      <c r="K4" s="287" t="s">
        <v>314</v>
      </c>
      <c r="L4" s="287"/>
      <c r="M4" s="287"/>
      <c r="N4" s="25"/>
    </row>
    <row r="5" spans="1:14" ht="21" x14ac:dyDescent="0.35">
      <c r="A5" s="149" t="s">
        <v>151</v>
      </c>
      <c r="B5" s="148"/>
      <c r="C5" s="148"/>
      <c r="D5" s="148"/>
      <c r="E5" s="148"/>
      <c r="F5" s="148"/>
      <c r="G5" s="148"/>
      <c r="H5" s="148"/>
      <c r="I5" s="40"/>
      <c r="J5" s="42"/>
      <c r="K5" s="42"/>
      <c r="L5" s="42"/>
      <c r="M5" s="42"/>
      <c r="N5" s="25"/>
    </row>
    <row r="6" spans="1:14" s="19" customFormat="1" ht="33" customHeight="1" x14ac:dyDescent="0.2">
      <c r="A6" s="288" t="s">
        <v>208</v>
      </c>
      <c r="B6" s="289"/>
      <c r="C6" s="289"/>
      <c r="D6" s="289"/>
      <c r="E6" s="289"/>
      <c r="F6" s="289"/>
      <c r="G6" s="289"/>
      <c r="H6" s="289"/>
      <c r="I6" s="289"/>
      <c r="J6" s="289"/>
      <c r="K6" s="289"/>
      <c r="L6" s="289"/>
      <c r="M6" s="289"/>
      <c r="N6" s="43"/>
    </row>
    <row r="7" spans="1:14" ht="15" customHeight="1" x14ac:dyDescent="0.2">
      <c r="A7" s="38" t="s">
        <v>240</v>
      </c>
      <c r="B7" s="56"/>
      <c r="C7" s="35"/>
      <c r="D7" s="148"/>
      <c r="E7" s="148"/>
      <c r="F7" s="148"/>
      <c r="G7" s="148"/>
      <c r="H7" s="148"/>
      <c r="I7" s="148"/>
      <c r="J7" s="148"/>
      <c r="K7" s="148"/>
      <c r="L7" s="148"/>
      <c r="M7" s="148"/>
      <c r="N7" s="25"/>
    </row>
    <row r="8" spans="1:14" ht="14.25" customHeight="1" x14ac:dyDescent="0.2">
      <c r="A8" s="58">
        <v>8</v>
      </c>
      <c r="B8" s="150"/>
      <c r="C8" s="147"/>
      <c r="D8" s="147"/>
      <c r="E8" s="147"/>
      <c r="F8" s="147"/>
      <c r="G8" s="34"/>
      <c r="H8" s="34" t="s">
        <v>82</v>
      </c>
      <c r="I8" s="34" t="s">
        <v>161</v>
      </c>
      <c r="J8" s="34" t="s">
        <v>162</v>
      </c>
      <c r="K8" s="34" t="s">
        <v>163</v>
      </c>
      <c r="L8" s="34" t="s">
        <v>164</v>
      </c>
      <c r="M8" s="34" t="s">
        <v>165</v>
      </c>
      <c r="N8" s="37"/>
    </row>
    <row r="9" spans="1:14" ht="12.75" customHeight="1" x14ac:dyDescent="0.2">
      <c r="A9" s="58">
        <v>9</v>
      </c>
      <c r="B9" s="147"/>
      <c r="C9" s="26"/>
      <c r="D9" s="147"/>
      <c r="E9" s="60"/>
      <c r="F9" s="79"/>
      <c r="G9" s="189" t="str">
        <f>IF(ISNUMBER(CoverSheet!$C$12),"for year ended","")</f>
        <v>for year ended</v>
      </c>
      <c r="H9" s="50">
        <f>IF(ISNUMBER(CoverSheet!$C$12),DATE(YEAR(CoverSheet!$C$12),MONTH(CoverSheet!$C$12),DAY(CoverSheet!$C$12))-1,"")</f>
        <v>44286</v>
      </c>
      <c r="I9" s="50">
        <f>IF(ISNUMBER(CoverSheet!$C$12),DATE(YEAR(CoverSheet!$C$12)+1,MONTH(CoverSheet!$C$12),DAY(CoverSheet!$C$12))-1,"")</f>
        <v>44651</v>
      </c>
      <c r="J9" s="50">
        <f>IF(ISNUMBER(CoverSheet!$C$12),DATE(YEAR(CoverSheet!$C$12)+2,MONTH(CoverSheet!$C$12),DAY(CoverSheet!$C$12))-1,"")</f>
        <v>45016</v>
      </c>
      <c r="K9" s="50">
        <f>IF(ISNUMBER(CoverSheet!$C$12),DATE(YEAR(CoverSheet!$C$12)+3,MONTH(CoverSheet!$C$12),DAY(CoverSheet!$C$12))-1,"")</f>
        <v>45382</v>
      </c>
      <c r="L9" s="50">
        <f>IF(ISNUMBER(CoverSheet!$C$12),DATE(YEAR(CoverSheet!$C$12)+4,MONTH(CoverSheet!$C$12),DAY(CoverSheet!$C$12))-1,"")</f>
        <v>45747</v>
      </c>
      <c r="M9" s="50">
        <f>IF(ISNUMBER(CoverSheet!$C$12),DATE(YEAR(CoverSheet!$C$12)+5,MONTH(CoverSheet!$C$12),DAY(CoverSheet!$C$12))-1,"")</f>
        <v>46112</v>
      </c>
      <c r="N9" s="20"/>
    </row>
    <row r="10" spans="1:14" ht="12.75" customHeight="1" x14ac:dyDescent="0.2">
      <c r="A10" s="58">
        <v>10</v>
      </c>
      <c r="B10" s="147"/>
      <c r="C10" s="26"/>
      <c r="D10" s="147"/>
      <c r="E10" s="60" t="s">
        <v>12</v>
      </c>
      <c r="F10" s="79"/>
      <c r="G10" s="189"/>
      <c r="H10" s="59"/>
      <c r="I10" s="50"/>
      <c r="J10" s="50"/>
      <c r="K10" s="50"/>
      <c r="L10" s="50"/>
      <c r="M10" s="50"/>
      <c r="N10" s="20"/>
    </row>
    <row r="11" spans="1:14" ht="15" customHeight="1" x14ac:dyDescent="0.2">
      <c r="A11" s="58">
        <v>11</v>
      </c>
      <c r="B11" s="147"/>
      <c r="C11" s="36"/>
      <c r="D11" s="147"/>
      <c r="E11" s="79"/>
      <c r="F11" s="79" t="s">
        <v>10</v>
      </c>
      <c r="G11" s="62"/>
      <c r="H11" s="180">
        <v>195.96</v>
      </c>
      <c r="I11" s="180">
        <v>195.96</v>
      </c>
      <c r="J11" s="180">
        <v>195.96</v>
      </c>
      <c r="K11" s="180">
        <v>195.96</v>
      </c>
      <c r="L11" s="180">
        <v>195.96</v>
      </c>
      <c r="M11" s="180">
        <v>195.96</v>
      </c>
      <c r="N11" s="20"/>
    </row>
    <row r="12" spans="1:14" ht="15" customHeight="1" x14ac:dyDescent="0.2">
      <c r="A12" s="58">
        <v>12</v>
      </c>
      <c r="B12" s="147"/>
      <c r="C12" s="36"/>
      <c r="D12" s="147"/>
      <c r="E12" s="79"/>
      <c r="F12" s="79" t="s">
        <v>11</v>
      </c>
      <c r="G12" s="150"/>
      <c r="H12" s="180">
        <v>124.94</v>
      </c>
      <c r="I12" s="180">
        <v>142.01</v>
      </c>
      <c r="J12" s="180">
        <v>142.01</v>
      </c>
      <c r="K12" s="180">
        <v>142.01</v>
      </c>
      <c r="L12" s="180">
        <v>142.01</v>
      </c>
      <c r="M12" s="180">
        <v>142.01</v>
      </c>
      <c r="N12" s="20"/>
    </row>
    <row r="13" spans="1:14" ht="30" customHeight="1" x14ac:dyDescent="0.2">
      <c r="A13" s="58">
        <v>13</v>
      </c>
      <c r="B13" s="147"/>
      <c r="C13" s="79"/>
      <c r="D13" s="147"/>
      <c r="E13" s="60" t="s">
        <v>142</v>
      </c>
      <c r="F13" s="79"/>
      <c r="G13" s="147"/>
      <c r="H13" s="147"/>
      <c r="I13" s="147"/>
      <c r="J13" s="147"/>
      <c r="K13" s="147"/>
      <c r="L13" s="147"/>
      <c r="M13" s="147"/>
      <c r="N13" s="20"/>
    </row>
    <row r="14" spans="1:14" ht="15" customHeight="1" x14ac:dyDescent="0.2">
      <c r="A14" s="58">
        <v>14</v>
      </c>
      <c r="B14" s="147"/>
      <c r="C14" s="36"/>
      <c r="D14" s="147"/>
      <c r="E14" s="79"/>
      <c r="F14" s="79" t="s">
        <v>10</v>
      </c>
      <c r="G14" s="150"/>
      <c r="H14" s="176">
        <v>1.1080000000000001</v>
      </c>
      <c r="I14" s="176">
        <v>1.1080000000000001</v>
      </c>
      <c r="J14" s="176">
        <v>1.1080000000000001</v>
      </c>
      <c r="K14" s="176">
        <v>1.1080000000000001</v>
      </c>
      <c r="L14" s="176">
        <v>1.1080000000000001</v>
      </c>
      <c r="M14" s="176">
        <v>1.1080000000000001</v>
      </c>
      <c r="N14" s="20"/>
    </row>
    <row r="15" spans="1:14" ht="15" customHeight="1" x14ac:dyDescent="0.2">
      <c r="A15" s="58">
        <v>15</v>
      </c>
      <c r="B15" s="147"/>
      <c r="C15" s="36"/>
      <c r="D15" s="147"/>
      <c r="E15" s="79"/>
      <c r="F15" s="79" t="s">
        <v>11</v>
      </c>
      <c r="G15" s="150"/>
      <c r="H15" s="176">
        <v>2.0710000000000002</v>
      </c>
      <c r="I15" s="176">
        <v>2.2599999999999998</v>
      </c>
      <c r="J15" s="176">
        <v>2.2599999999999998</v>
      </c>
      <c r="K15" s="176">
        <v>2.2599999999999998</v>
      </c>
      <c r="L15" s="176">
        <v>2.2599999999999998</v>
      </c>
      <c r="M15" s="176">
        <v>2.2599999999999998</v>
      </c>
      <c r="N15" s="20"/>
    </row>
    <row r="16" spans="1:14" x14ac:dyDescent="0.2">
      <c r="A16" s="22"/>
      <c r="B16" s="23"/>
      <c r="C16" s="23"/>
      <c r="D16" s="23"/>
      <c r="E16" s="23"/>
      <c r="F16" s="23"/>
      <c r="G16" s="23"/>
      <c r="H16" s="23"/>
      <c r="I16" s="23"/>
      <c r="J16" s="23"/>
      <c r="K16" s="23"/>
      <c r="L16" s="23"/>
      <c r="M16" s="23"/>
      <c r="N16" s="24"/>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7A4248B7-856D-4CE3-A725-29BAD8FD3984}"/>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&amp;CCommerce Commission Information Disclosure Template</oddHeader>
    <oddFooter>&amp;L&amp;F&amp;C&amp;P&amp;R&amp;A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B337467E407A4E81DE014878D396D1" ma:contentTypeVersion="6" ma:contentTypeDescription="Create a new document." ma:contentTypeScope="" ma:versionID="6380a2f133f1c765a1683988b3281947">
  <xsd:schema xmlns:xsd="http://www.w3.org/2001/XMLSchema" xmlns:xs="http://www.w3.org/2001/XMLSchema" xmlns:p="http://schemas.microsoft.com/office/2006/metadata/properties" xmlns:ns2="5c79b76d-a314-4550-a5d5-3f06d9ffac13" xmlns:ns3="54035f38-61e2-4bce-93cc-23d79b3f2615" targetNamespace="http://schemas.microsoft.com/office/2006/metadata/properties" ma:root="true" ma:fieldsID="ffb0f68c53786c0d70d89e9f8191c7c6" ns2:_="" ns3:_="">
    <xsd:import namespace="5c79b76d-a314-4550-a5d5-3f06d9ffac13"/>
    <xsd:import namespace="54035f38-61e2-4bce-93cc-23d79b3f26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b76d-a314-4550-a5d5-3f06d9ffac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9D8EB7-D0E5-43D9-A066-942659427F7A}">
  <ds:schemaRefs>
    <ds:schemaRef ds:uri="http://schemas.microsoft.com/sharepoint/v3/contenttype/forms"/>
  </ds:schemaRefs>
</ds:datastoreItem>
</file>

<file path=customXml/itemProps2.xml><?xml version="1.0" encoding="utf-8"?>
<ds:datastoreItem xmlns:ds="http://schemas.openxmlformats.org/officeDocument/2006/customXml" ds:itemID="{31FCFE1F-5792-4057-BBE7-D571A3DC6D8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7BD84B-70F2-470D-9C1A-CE8E7F8D3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b76d-a314-4550-a5d5-3f06d9ffac13"/>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 (Tot)</vt:lpstr>
      <vt:lpstr>S12d.Reliability Forecast (Dun)</vt:lpstr>
      <vt:lpstr>S12d.Reliability Forecast (CO)</vt:lpstr>
      <vt:lpstr>CoverSheet!Print_Area</vt:lpstr>
      <vt:lpstr>Instructions!Print_Area</vt:lpstr>
      <vt:lpstr>'S11a.Capex Forecast'!Print_Area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 (CO)'!Print_Titles</vt:lpstr>
      <vt:lpstr>'S12d.Reliability Forecast (Dun)'!Print_Titles</vt:lpstr>
      <vt:lpstr>'S12d.Reliability Forecast (Tot)'!Print_Titles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Shaan Ross</cp:lastModifiedBy>
  <cp:lastPrinted>2015-03-23T03:35:38Z</cp:lastPrinted>
  <dcterms:created xsi:type="dcterms:W3CDTF">2010-01-15T02:39:26Z</dcterms:created>
  <dcterms:modified xsi:type="dcterms:W3CDTF">2021-03-09T20:45:55Z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0x010100ECB337467E407A4E81DE014878D396D1</vt:lpwstr>
  </property>
</Properties>
</file>